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Users\Jonnatan\Documents\TALENTO HUMANO. DICIEMBRE 2020\"/>
    </mc:Choice>
  </mc:AlternateContent>
  <xr:revisionPtr revIDLastSave="0" documentId="13_ncr:1_{D21D4B13-087E-4236-8F5A-A5AC0F3C56F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PLAN CONSOLIDADO DE PLANIFICACI" sheetId="17" r:id="rId1"/>
    <sheet name="REFORMULACION" sheetId="20" r:id="rId2"/>
    <sheet name="DEVENGADO  (2)" sheetId="21" r:id="rId3"/>
    <sheet name="DEVENGADO DICIEMBRE" sheetId="22" r:id="rId4"/>
  </sheets>
  <calcPr calcId="181029"/>
  <fileRecoveryPr autoRecover="0"/>
</workbook>
</file>

<file path=xl/calcChain.xml><?xml version="1.0" encoding="utf-8"?>
<calcChain xmlns="http://schemas.openxmlformats.org/spreadsheetml/2006/main">
  <c r="AF69" i="17" l="1"/>
  <c r="P112" i="17"/>
  <c r="P113" i="17"/>
  <c r="BD101" i="17"/>
  <c r="BD81" i="17"/>
  <c r="BD76" i="17"/>
  <c r="BD73" i="17"/>
  <c r="BD72" i="17"/>
  <c r="BD71" i="17"/>
  <c r="BD98" i="17"/>
  <c r="BD97" i="17"/>
  <c r="BD96" i="17"/>
  <c r="BD93" i="17"/>
  <c r="BD90" i="17"/>
  <c r="BD89" i="17"/>
  <c r="BD87" i="17"/>
  <c r="BD35" i="17"/>
  <c r="BD34" i="17"/>
  <c r="BD33" i="17"/>
  <c r="Z101" i="17"/>
  <c r="Z33" i="17"/>
  <c r="Z35" i="17"/>
  <c r="AA35" i="17" s="1"/>
  <c r="Z34" i="17"/>
  <c r="Z81" i="17"/>
  <c r="Z76" i="17"/>
  <c r="Z73" i="17"/>
  <c r="Z72" i="17"/>
  <c r="Z71" i="17"/>
  <c r="Z98" i="17"/>
  <c r="Z97" i="17"/>
  <c r="Z96" i="17"/>
  <c r="Z93" i="17"/>
  <c r="Z90" i="17"/>
  <c r="Z89" i="17"/>
  <c r="Z87" i="17"/>
  <c r="BD25" i="17" l="1"/>
  <c r="Z25" i="17"/>
  <c r="AA25" i="17" s="1"/>
  <c r="Z94" i="17" l="1"/>
  <c r="AA94" i="17" s="1"/>
  <c r="BD94" i="17"/>
  <c r="BD64" i="17" l="1"/>
  <c r="AD101" i="17" l="1"/>
  <c r="K26" i="21" l="1"/>
  <c r="K25" i="21"/>
  <c r="K33" i="21" s="1"/>
  <c r="K15" i="21"/>
  <c r="L15" i="21" s="1"/>
  <c r="L25" i="21" l="1"/>
  <c r="BD59" i="17"/>
  <c r="Z59" i="17"/>
  <c r="BB64" i="17"/>
  <c r="Z64" i="17"/>
  <c r="Z58" i="17"/>
  <c r="Z102" i="17"/>
  <c r="Z105" i="17"/>
  <c r="Z100" i="17"/>
  <c r="BB74" i="17"/>
  <c r="BB71" i="17"/>
  <c r="BB79" i="17" l="1"/>
  <c r="AA79" i="17"/>
  <c r="BB54" i="17"/>
  <c r="Z54" i="17"/>
  <c r="BB53" i="17"/>
  <c r="Z53" i="17"/>
  <c r="AA53" i="17" s="1"/>
  <c r="BB47" i="17"/>
  <c r="Z47" i="17"/>
  <c r="BB46" i="17"/>
  <c r="Z46" i="17"/>
  <c r="AA46" i="17" s="1"/>
  <c r="BB45" i="17"/>
  <c r="AA45" i="17"/>
  <c r="BB44" i="17"/>
  <c r="Z44" i="17"/>
  <c r="AA44" i="17" s="1"/>
  <c r="AA43" i="17"/>
  <c r="BB41" i="17"/>
  <c r="BB32" i="17"/>
  <c r="Z41" i="17"/>
  <c r="AA41" i="17" s="1"/>
  <c r="Z32" i="17"/>
  <c r="BB59" i="17" l="1"/>
  <c r="AF101" i="17" l="1"/>
  <c r="AE101" i="17"/>
  <c r="AC101" i="17"/>
  <c r="AB101" i="17"/>
  <c r="AA101" i="17"/>
  <c r="Z61" i="17"/>
  <c r="AA61" i="17" s="1"/>
  <c r="BB61" i="17"/>
  <c r="BB75" i="17"/>
  <c r="Z75" i="17"/>
  <c r="AG101" i="17" l="1"/>
  <c r="AA81" i="17"/>
  <c r="Z78" i="17"/>
  <c r="BB33" i="17"/>
  <c r="BB31" i="17"/>
  <c r="BB30" i="17"/>
  <c r="BB29" i="17"/>
  <c r="BB28" i="17"/>
  <c r="BB26" i="17"/>
  <c r="BB22" i="17"/>
  <c r="BB21" i="17"/>
  <c r="AA33" i="17"/>
  <c r="Z31" i="17"/>
  <c r="Z30" i="17"/>
  <c r="Z29" i="17"/>
  <c r="AA29" i="17" s="1"/>
  <c r="Z28" i="17"/>
  <c r="Z26" i="17"/>
  <c r="AA26" i="17" s="1"/>
  <c r="Z23" i="17"/>
  <c r="Z22" i="17"/>
  <c r="Z21" i="17"/>
  <c r="AA21" i="17" s="1"/>
  <c r="Z17" i="17"/>
  <c r="AA17" i="17" s="1"/>
  <c r="BB17" i="17"/>
  <c r="BF101" i="17" l="1"/>
  <c r="AV100" i="17" l="1"/>
  <c r="AA100" i="17"/>
  <c r="AX73" i="17" l="1"/>
  <c r="AV59" i="17" l="1"/>
  <c r="AV73" i="17" l="1"/>
  <c r="AE56" i="17" l="1"/>
  <c r="AZ59" i="17" l="1"/>
  <c r="AX59" i="17"/>
  <c r="AZ64" i="17"/>
  <c r="AX64" i="17"/>
  <c r="AV64" i="17"/>
  <c r="AV66" i="17"/>
  <c r="BD60" i="17"/>
  <c r="BB60" i="17"/>
  <c r="AZ60" i="17"/>
  <c r="AX60" i="17"/>
  <c r="AV60" i="17"/>
  <c r="AV34" i="17"/>
  <c r="AV54" i="17"/>
  <c r="AV23" i="17"/>
  <c r="AV38" i="17"/>
  <c r="AV47" i="17"/>
  <c r="Z38" i="17"/>
  <c r="Z66" i="17"/>
  <c r="Z60" i="17"/>
  <c r="BE106" i="17"/>
  <c r="BC106" i="17"/>
  <c r="BA106" i="17"/>
  <c r="AY106" i="17"/>
  <c r="AW106" i="17"/>
  <c r="AU106" i="17"/>
  <c r="AS106" i="17"/>
  <c r="AQ106" i="17"/>
  <c r="AO106" i="17"/>
  <c r="AM106" i="17"/>
  <c r="AK106" i="17"/>
  <c r="AI106" i="17"/>
  <c r="BF105" i="17"/>
  <c r="BF104" i="17"/>
  <c r="BF103" i="17"/>
  <c r="BF102" i="17"/>
  <c r="AF105" i="17"/>
  <c r="AE105" i="17"/>
  <c r="AD105" i="17"/>
  <c r="AC105" i="17"/>
  <c r="AB105" i="17"/>
  <c r="AA105" i="17"/>
  <c r="AF104" i="17"/>
  <c r="AE104" i="17"/>
  <c r="AD104" i="17"/>
  <c r="AC104" i="17"/>
  <c r="AB104" i="17"/>
  <c r="AA104" i="17"/>
  <c r="AF103" i="17"/>
  <c r="AE103" i="17"/>
  <c r="AG103" i="17" s="1"/>
  <c r="AD103" i="17"/>
  <c r="AC103" i="17"/>
  <c r="AB103" i="17"/>
  <c r="AF102" i="17"/>
  <c r="AE102" i="17"/>
  <c r="AD102" i="17"/>
  <c r="AC102" i="17"/>
  <c r="AB102" i="17"/>
  <c r="AA102" i="17"/>
  <c r="AG102" i="17" s="1"/>
  <c r="AG105" i="17" l="1"/>
  <c r="AG104" i="17"/>
  <c r="I115" i="17"/>
  <c r="BB93" i="17" l="1"/>
  <c r="AZ93" i="17"/>
  <c r="AX93" i="17"/>
  <c r="AV93" i="17"/>
  <c r="AT93" i="17"/>
  <c r="BB87" i="17"/>
  <c r="AZ87" i="17"/>
  <c r="AX87" i="17"/>
  <c r="AV87" i="17"/>
  <c r="AT87" i="17"/>
  <c r="AT54" i="17"/>
  <c r="BF54" i="17" s="1"/>
  <c r="AT47" i="17"/>
  <c r="BF47" i="17" s="1"/>
  <c r="AT34" i="17"/>
  <c r="BF34" i="17" s="1"/>
  <c r="AT64" i="17"/>
  <c r="BF64" i="17" s="1"/>
  <c r="AT60" i="17"/>
  <c r="AT59" i="17"/>
  <c r="AT38" i="17"/>
  <c r="BF38" i="17" s="1"/>
  <c r="AT23" i="17"/>
  <c r="AA87" i="17"/>
  <c r="AA93" i="17"/>
  <c r="AA60" i="17"/>
  <c r="BI106" i="17"/>
  <c r="AA34" i="17"/>
  <c r="AA54" i="17"/>
  <c r="AA47" i="17"/>
  <c r="AA38" i="17"/>
  <c r="Y106" i="17"/>
  <c r="BB97" i="17"/>
  <c r="AZ97" i="17"/>
  <c r="AX97" i="17"/>
  <c r="AV97" i="17"/>
  <c r="AT97" i="17"/>
  <c r="AA97" i="17"/>
  <c r="BB90" i="17"/>
  <c r="AZ90" i="17"/>
  <c r="AX90" i="17"/>
  <c r="AV90" i="17"/>
  <c r="AT90" i="17"/>
  <c r="AR73" i="17"/>
  <c r="BD75" i="17"/>
  <c r="AZ75" i="17"/>
  <c r="AX75" i="17"/>
  <c r="AV75" i="17"/>
  <c r="AT75" i="17"/>
  <c r="AR75" i="17"/>
  <c r="AP75" i="17"/>
  <c r="AN75" i="17"/>
  <c r="AL75" i="17"/>
  <c r="BB73" i="17"/>
  <c r="AZ73" i="17"/>
  <c r="AT73" i="17"/>
  <c r="AP73" i="17"/>
  <c r="AZ71" i="17"/>
  <c r="AX71" i="17"/>
  <c r="AV71" i="17"/>
  <c r="AT71" i="17"/>
  <c r="AR71" i="17"/>
  <c r="AP71" i="17"/>
  <c r="AR59" i="17"/>
  <c r="AP59" i="17"/>
  <c r="AP62" i="17"/>
  <c r="BF62" i="17" s="1"/>
  <c r="AP67" i="17"/>
  <c r="BF67" i="17" s="1"/>
  <c r="AL66" i="17"/>
  <c r="AP66" i="17"/>
  <c r="AP100" i="17"/>
  <c r="BF100" i="17" s="1"/>
  <c r="AP78" i="17"/>
  <c r="BF78" i="17" s="1"/>
  <c r="AR60" i="17"/>
  <c r="AP60" i="17"/>
  <c r="AP68" i="17"/>
  <c r="BF68" i="17" s="1"/>
  <c r="AP58" i="17"/>
  <c r="BF58" i="17" s="1"/>
  <c r="AP50" i="17"/>
  <c r="BF50" i="17" s="1"/>
  <c r="Z62" i="17"/>
  <c r="AA62" i="17" s="1"/>
  <c r="Z67" i="17"/>
  <c r="AA67" i="17" s="1"/>
  <c r="AA66" i="17"/>
  <c r="AA78" i="17"/>
  <c r="Z68" i="17"/>
  <c r="AA68" i="17" s="1"/>
  <c r="AA58" i="17"/>
  <c r="Z50" i="17"/>
  <c r="AA50" i="17" s="1"/>
  <c r="AH87" i="17"/>
  <c r="AL97" i="17"/>
  <c r="G117" i="17"/>
  <c r="I114" i="17"/>
  <c r="I113" i="17"/>
  <c r="AR97" i="17"/>
  <c r="AP97" i="17"/>
  <c r="AN97" i="17"/>
  <c r="AJ97" i="17"/>
  <c r="AH97" i="17"/>
  <c r="AA63" i="17"/>
  <c r="AH59" i="17"/>
  <c r="C170" i="17"/>
  <c r="C157" i="17"/>
  <c r="E157" i="17" s="1"/>
  <c r="C130" i="17"/>
  <c r="E130" i="17" s="1"/>
  <c r="C128" i="17"/>
  <c r="E128" i="17" s="1"/>
  <c r="BF61" i="17"/>
  <c r="AA52" i="17"/>
  <c r="AA51" i="17"/>
  <c r="BF74" i="17"/>
  <c r="BF48" i="17"/>
  <c r="AE89" i="17"/>
  <c r="AF89" i="17" s="1"/>
  <c r="AA89" i="17"/>
  <c r="BF27" i="17"/>
  <c r="BF94" i="17"/>
  <c r="AA72" i="17"/>
  <c r="AB72" i="17"/>
  <c r="AA71" i="17"/>
  <c r="AA27" i="17"/>
  <c r="AG27" i="17" s="1"/>
  <c r="AA32" i="17"/>
  <c r="AA31" i="17"/>
  <c r="AA30" i="17"/>
  <c r="AA28" i="17"/>
  <c r="AA22" i="17"/>
  <c r="AA20" i="17"/>
  <c r="AA18" i="17"/>
  <c r="AA15" i="17"/>
  <c r="AA14" i="17"/>
  <c r="AA64" i="17"/>
  <c r="AA76" i="17"/>
  <c r="AA75" i="17"/>
  <c r="AA59" i="17"/>
  <c r="AA48" i="17"/>
  <c r="AA74" i="17"/>
  <c r="AA96" i="17"/>
  <c r="AD29" i="17"/>
  <c r="AD54" i="17"/>
  <c r="K15" i="22"/>
  <c r="K14" i="22"/>
  <c r="AA73" i="17"/>
  <c r="AA90" i="17"/>
  <c r="AA23" i="17"/>
  <c r="AE100" i="17"/>
  <c r="AE74" i="17"/>
  <c r="AF74" i="17" s="1"/>
  <c r="BF77" i="17"/>
  <c r="AB14" i="17"/>
  <c r="AC14" i="17"/>
  <c r="AD14" i="17"/>
  <c r="AE14" i="17"/>
  <c r="AB15" i="17"/>
  <c r="AC15" i="17"/>
  <c r="AD15" i="17"/>
  <c r="AE15" i="17"/>
  <c r="AF15" i="17" s="1"/>
  <c r="AA16" i="17"/>
  <c r="AB16" i="17"/>
  <c r="AC16" i="17"/>
  <c r="AD16" i="17"/>
  <c r="AE16" i="17"/>
  <c r="AF16" i="17" s="1"/>
  <c r="AB17" i="17"/>
  <c r="AC17" i="17"/>
  <c r="AD17" i="17"/>
  <c r="AE17" i="17"/>
  <c r="AF17" i="17" s="1"/>
  <c r="AB18" i="17"/>
  <c r="AC18" i="17"/>
  <c r="AD18" i="17"/>
  <c r="AE18" i="17"/>
  <c r="AF18" i="17" s="1"/>
  <c r="AA19" i="17"/>
  <c r="AB19" i="17"/>
  <c r="AC19" i="17"/>
  <c r="AD19" i="17"/>
  <c r="AE19" i="17"/>
  <c r="AF19" i="17"/>
  <c r="BF19" i="17"/>
  <c r="AB20" i="17"/>
  <c r="AC20" i="17"/>
  <c r="AD20" i="17"/>
  <c r="AE20" i="17"/>
  <c r="AG20" i="17" s="1"/>
  <c r="AB21" i="17"/>
  <c r="AC21" i="17"/>
  <c r="AD21" i="17"/>
  <c r="AE21" i="17"/>
  <c r="AF21" i="17" s="1"/>
  <c r="BF21" i="17"/>
  <c r="AB22" i="17"/>
  <c r="AC22" i="17"/>
  <c r="AD22" i="17"/>
  <c r="AE22" i="17"/>
  <c r="AF22" i="17" s="1"/>
  <c r="AC23" i="17"/>
  <c r="AD23" i="17"/>
  <c r="AA24" i="17"/>
  <c r="AB24" i="17"/>
  <c r="AC24" i="17"/>
  <c r="AD24" i="17"/>
  <c r="AE24" i="17"/>
  <c r="AF24" i="17"/>
  <c r="BF24" i="17"/>
  <c r="AB25" i="17"/>
  <c r="AC25" i="17"/>
  <c r="AD25" i="17"/>
  <c r="AE25" i="17"/>
  <c r="AF25" i="17" s="1"/>
  <c r="BF25" i="17"/>
  <c r="AB26" i="17"/>
  <c r="AC26" i="17"/>
  <c r="AD26" i="17"/>
  <c r="AE26" i="17"/>
  <c r="AF26" i="17" s="1"/>
  <c r="BF26" i="17"/>
  <c r="AB27" i="17"/>
  <c r="AC27" i="17"/>
  <c r="AD27" i="17"/>
  <c r="AE27" i="17"/>
  <c r="AF27" i="17" s="1"/>
  <c r="AB28" i="17"/>
  <c r="AC28" i="17"/>
  <c r="AD28" i="17"/>
  <c r="AE28" i="17"/>
  <c r="AF28" i="17" s="1"/>
  <c r="BF28" i="17"/>
  <c r="AB29" i="17"/>
  <c r="AC29" i="17"/>
  <c r="AE29" i="17"/>
  <c r="AF29" i="17" s="1"/>
  <c r="BF29" i="17"/>
  <c r="AB30" i="17"/>
  <c r="AC30" i="17"/>
  <c r="AD30" i="17"/>
  <c r="AE30" i="17"/>
  <c r="AF30" i="17" s="1"/>
  <c r="BF30" i="17"/>
  <c r="AB31" i="17"/>
  <c r="AC31" i="17"/>
  <c r="AD31" i="17"/>
  <c r="AE31" i="17"/>
  <c r="AG31" i="17" s="1"/>
  <c r="BF31" i="17"/>
  <c r="AB32" i="17"/>
  <c r="AC32" i="17"/>
  <c r="AD32" i="17"/>
  <c r="AE32" i="17"/>
  <c r="AF32" i="17" s="1"/>
  <c r="BF32" i="17"/>
  <c r="AB33" i="17"/>
  <c r="AC33" i="17"/>
  <c r="AD33" i="17"/>
  <c r="AE33" i="17"/>
  <c r="AG33" i="17" s="1"/>
  <c r="BF33" i="17"/>
  <c r="AB34" i="17"/>
  <c r="AC34" i="17"/>
  <c r="AD34" i="17"/>
  <c r="AE34" i="17"/>
  <c r="AF34" i="17" s="1"/>
  <c r="AB35" i="17"/>
  <c r="AC35" i="17"/>
  <c r="AD35" i="17"/>
  <c r="AE35" i="17"/>
  <c r="AF35" i="17" s="1"/>
  <c r="BF35" i="17"/>
  <c r="AA36" i="17"/>
  <c r="AB36" i="17"/>
  <c r="AC36" i="17"/>
  <c r="AD36" i="17"/>
  <c r="AE36" i="17"/>
  <c r="AF36" i="17" s="1"/>
  <c r="BF36" i="17"/>
  <c r="AA37" i="17"/>
  <c r="AB37" i="17"/>
  <c r="AC37" i="17"/>
  <c r="AD37" i="17"/>
  <c r="AE37" i="17"/>
  <c r="AF37" i="17" s="1"/>
  <c r="BF37" i="17"/>
  <c r="AB38" i="17"/>
  <c r="AC38" i="17"/>
  <c r="AD38" i="17"/>
  <c r="AE38" i="17"/>
  <c r="AA39" i="17"/>
  <c r="AB39" i="17"/>
  <c r="AC39" i="17"/>
  <c r="AD39" i="17"/>
  <c r="AE39" i="17"/>
  <c r="AF39" i="17" s="1"/>
  <c r="BF39" i="17"/>
  <c r="AA40" i="17"/>
  <c r="AB40" i="17"/>
  <c r="AC40" i="17"/>
  <c r="AD40" i="17"/>
  <c r="AE40" i="17"/>
  <c r="AF40" i="17" s="1"/>
  <c r="BF40" i="17"/>
  <c r="AB41" i="17"/>
  <c r="AC41" i="17"/>
  <c r="AD41" i="17"/>
  <c r="AE41" i="17"/>
  <c r="BF41" i="17"/>
  <c r="AA42" i="17"/>
  <c r="AB42" i="17"/>
  <c r="AC42" i="17"/>
  <c r="AD42" i="17"/>
  <c r="AE42" i="17"/>
  <c r="AF42" i="17" s="1"/>
  <c r="BF42" i="17"/>
  <c r="AB43" i="17"/>
  <c r="AC43" i="17"/>
  <c r="AD43" i="17"/>
  <c r="AE43" i="17"/>
  <c r="AF43" i="17" s="1"/>
  <c r="BF43" i="17"/>
  <c r="AB44" i="17"/>
  <c r="AC44" i="17"/>
  <c r="AD44" i="17"/>
  <c r="AE44" i="17"/>
  <c r="AF44" i="17" s="1"/>
  <c r="BF44" i="17"/>
  <c r="AB45" i="17"/>
  <c r="AC45" i="17"/>
  <c r="AD45" i="17"/>
  <c r="AE45" i="17"/>
  <c r="AF45" i="17" s="1"/>
  <c r="BF45" i="17"/>
  <c r="AB46" i="17"/>
  <c r="AC46" i="17"/>
  <c r="AD46" i="17"/>
  <c r="AE46" i="17"/>
  <c r="AF46" i="17" s="1"/>
  <c r="BF46" i="17"/>
  <c r="AB47" i="17"/>
  <c r="AC47" i="17"/>
  <c r="AD47" i="17"/>
  <c r="AE47" i="17"/>
  <c r="AF47" i="17" s="1"/>
  <c r="AB48" i="17"/>
  <c r="AC48" i="17"/>
  <c r="AD48" i="17"/>
  <c r="AE48" i="17"/>
  <c r="AF48" i="17" s="1"/>
  <c r="AA49" i="17"/>
  <c r="AB49" i="17"/>
  <c r="AC49" i="17"/>
  <c r="AD49" i="17"/>
  <c r="AE49" i="17"/>
  <c r="AF49" i="17" s="1"/>
  <c r="BF49" i="17"/>
  <c r="AB50" i="17"/>
  <c r="AC50" i="17"/>
  <c r="AD50" i="17"/>
  <c r="AE50" i="17"/>
  <c r="AF50" i="17" s="1"/>
  <c r="AB53" i="17"/>
  <c r="AC53" i="17"/>
  <c r="AD53" i="17"/>
  <c r="AE53" i="17"/>
  <c r="AF53" i="17" s="1"/>
  <c r="BF53" i="17"/>
  <c r="AB54" i="17"/>
  <c r="AC54" i="17"/>
  <c r="AA55" i="17"/>
  <c r="AB55" i="17"/>
  <c r="AC55" i="17"/>
  <c r="AD55" i="17"/>
  <c r="AE55" i="17"/>
  <c r="AF55" i="17"/>
  <c r="BF55" i="17"/>
  <c r="AA56" i="17"/>
  <c r="AB56" i="17"/>
  <c r="AC56" i="17"/>
  <c r="AD56" i="17"/>
  <c r="AF56" i="17"/>
  <c r="BF56" i="17"/>
  <c r="AA57" i="17"/>
  <c r="AB57" i="17"/>
  <c r="AC57" i="17"/>
  <c r="AD57" i="17"/>
  <c r="AE57" i="17"/>
  <c r="AF57" i="17"/>
  <c r="BF57" i="17"/>
  <c r="AB58" i="17"/>
  <c r="AC58" i="17"/>
  <c r="AD58" i="17"/>
  <c r="AE58" i="17"/>
  <c r="AB59" i="17"/>
  <c r="AC59" i="17"/>
  <c r="AD59" i="17"/>
  <c r="AE59" i="17"/>
  <c r="AB60" i="17"/>
  <c r="AC60" i="17"/>
  <c r="AD60" i="17"/>
  <c r="AE60" i="17"/>
  <c r="AF60" i="17" s="1"/>
  <c r="AB61" i="17"/>
  <c r="AC61" i="17"/>
  <c r="AD61" i="17"/>
  <c r="AE61" i="17"/>
  <c r="AF61" i="17" s="1"/>
  <c r="AB62" i="17"/>
  <c r="AC62" i="17"/>
  <c r="AD62" i="17"/>
  <c r="AE62" i="17"/>
  <c r="AF62" i="17" s="1"/>
  <c r="AB63" i="17"/>
  <c r="AC63" i="17"/>
  <c r="AD63" i="17"/>
  <c r="AE63" i="17"/>
  <c r="AF63" i="17"/>
  <c r="BF63" i="17"/>
  <c r="AB64" i="17"/>
  <c r="AC64" i="17"/>
  <c r="AD64" i="17"/>
  <c r="AE64" i="17"/>
  <c r="AF64" i="17" s="1"/>
  <c r="AA65" i="17"/>
  <c r="AB65" i="17"/>
  <c r="AC65" i="17"/>
  <c r="AD65" i="17"/>
  <c r="AE65" i="17"/>
  <c r="AF65" i="17"/>
  <c r="BF65" i="17"/>
  <c r="AB66" i="17"/>
  <c r="AC66" i="17"/>
  <c r="AD66" i="17"/>
  <c r="AE66" i="17"/>
  <c r="AF66" i="17" s="1"/>
  <c r="AB67" i="17"/>
  <c r="AC67" i="17"/>
  <c r="AD67" i="17"/>
  <c r="AE67" i="17"/>
  <c r="AF67" i="17" s="1"/>
  <c r="AB68" i="17"/>
  <c r="AC68" i="17"/>
  <c r="AD68" i="17"/>
  <c r="AE68" i="17"/>
  <c r="AA69" i="17"/>
  <c r="AB69" i="17"/>
  <c r="AC69" i="17"/>
  <c r="AD69" i="17"/>
  <c r="AE69" i="17"/>
  <c r="BF69" i="17"/>
  <c r="AA70" i="17"/>
  <c r="AB70" i="17"/>
  <c r="AC70" i="17"/>
  <c r="AD70" i="17"/>
  <c r="AE70" i="17"/>
  <c r="AF70" i="17"/>
  <c r="BF70" i="17"/>
  <c r="AB71" i="17"/>
  <c r="AC71" i="17"/>
  <c r="AD71" i="17"/>
  <c r="AE71" i="17"/>
  <c r="AF71" i="17" s="1"/>
  <c r="AC72" i="17"/>
  <c r="AD72" i="17"/>
  <c r="AE72" i="17"/>
  <c r="AF72" i="17" s="1"/>
  <c r="BF72" i="17"/>
  <c r="AB73" i="17"/>
  <c r="AC73" i="17"/>
  <c r="AD73" i="17"/>
  <c r="AE73" i="17"/>
  <c r="AB74" i="17"/>
  <c r="AC74" i="17"/>
  <c r="AD74" i="17"/>
  <c r="AB75" i="17"/>
  <c r="AC75" i="17"/>
  <c r="AD75" i="17"/>
  <c r="AE75" i="17"/>
  <c r="AF75" i="17" s="1"/>
  <c r="AB76" i="17"/>
  <c r="AC76" i="17"/>
  <c r="AD76" i="17"/>
  <c r="AE76" i="17"/>
  <c r="AF76" i="17" s="1"/>
  <c r="AA77" i="17"/>
  <c r="AB77" i="17"/>
  <c r="AC77" i="17"/>
  <c r="AD77" i="17"/>
  <c r="AE77" i="17"/>
  <c r="AF77" i="17"/>
  <c r="AB78" i="17"/>
  <c r="AC78" i="17"/>
  <c r="AD78" i="17"/>
  <c r="AE78" i="17"/>
  <c r="AF78" i="17" s="1"/>
  <c r="AB79" i="17"/>
  <c r="AC79" i="17"/>
  <c r="AD79" i="17"/>
  <c r="AE79" i="17"/>
  <c r="AF79" i="17" s="1"/>
  <c r="AA80" i="17"/>
  <c r="AB80" i="17"/>
  <c r="AC80" i="17"/>
  <c r="AD80" i="17"/>
  <c r="AE80" i="17"/>
  <c r="AF80" i="17"/>
  <c r="BF80" i="17"/>
  <c r="AB81" i="17"/>
  <c r="AC81" i="17"/>
  <c r="AD81" i="17"/>
  <c r="AE81" i="17"/>
  <c r="AF81" i="17"/>
  <c r="BF81" i="17"/>
  <c r="AA82" i="17"/>
  <c r="AB82" i="17"/>
  <c r="AC82" i="17"/>
  <c r="AD82" i="17"/>
  <c r="AE82" i="17"/>
  <c r="AF82" i="17"/>
  <c r="BF82" i="17"/>
  <c r="AA83" i="17"/>
  <c r="AB83" i="17"/>
  <c r="AC83" i="17"/>
  <c r="AD83" i="17"/>
  <c r="AE83" i="17"/>
  <c r="AF83" i="17"/>
  <c r="BF83" i="17"/>
  <c r="AA84" i="17"/>
  <c r="AB84" i="17"/>
  <c r="AC84" i="17"/>
  <c r="AD84" i="17"/>
  <c r="AE84" i="17"/>
  <c r="AF84" i="17"/>
  <c r="BF84" i="17"/>
  <c r="AA85" i="17"/>
  <c r="AB85" i="17"/>
  <c r="AC85" i="17"/>
  <c r="AD85" i="17"/>
  <c r="AE85" i="17"/>
  <c r="AF85" i="17"/>
  <c r="BF85" i="17"/>
  <c r="AA86" i="17"/>
  <c r="AB86" i="17"/>
  <c r="AC86" i="17"/>
  <c r="AD86" i="17"/>
  <c r="AE86" i="17"/>
  <c r="AF86" i="17"/>
  <c r="BF86" i="17"/>
  <c r="AB87" i="17"/>
  <c r="AC87" i="17"/>
  <c r="AD87" i="17"/>
  <c r="AE87" i="17"/>
  <c r="AF87" i="17" s="1"/>
  <c r="AA88" i="17"/>
  <c r="AB88" i="17"/>
  <c r="AC88" i="17"/>
  <c r="AD88" i="17"/>
  <c r="AE88" i="17"/>
  <c r="AF88" i="17" s="1"/>
  <c r="BF88" i="17"/>
  <c r="AB89" i="17"/>
  <c r="AC89" i="17"/>
  <c r="AB90" i="17"/>
  <c r="AC90" i="17"/>
  <c r="AD90" i="17"/>
  <c r="AE90" i="17"/>
  <c r="AF90" i="17" s="1"/>
  <c r="AA91" i="17"/>
  <c r="AB91" i="17"/>
  <c r="AC91" i="17"/>
  <c r="AD91" i="17"/>
  <c r="AE91" i="17"/>
  <c r="AF91" i="17"/>
  <c r="AA92" i="17"/>
  <c r="AB92" i="17"/>
  <c r="AC92" i="17"/>
  <c r="AD92" i="17"/>
  <c r="AE92" i="17"/>
  <c r="AG92" i="17" s="1"/>
  <c r="AF92" i="17"/>
  <c r="AB93" i="17"/>
  <c r="AC93" i="17"/>
  <c r="AD93" i="17"/>
  <c r="AE93" i="17"/>
  <c r="AF93" i="17" s="1"/>
  <c r="AB94" i="17"/>
  <c r="AC94" i="17"/>
  <c r="AD94" i="17"/>
  <c r="AE94" i="17"/>
  <c r="AA95" i="17"/>
  <c r="AB95" i="17"/>
  <c r="AC95" i="17"/>
  <c r="AD95" i="17"/>
  <c r="AE95" i="17"/>
  <c r="AG95" i="17" s="1"/>
  <c r="AF95" i="17"/>
  <c r="BF95" i="17"/>
  <c r="AB96" i="17"/>
  <c r="AC96" i="17"/>
  <c r="AD96" i="17"/>
  <c r="AE96" i="17"/>
  <c r="AF96" i="17" s="1"/>
  <c r="BF96" i="17"/>
  <c r="AB97" i="17"/>
  <c r="AC97" i="17"/>
  <c r="AD97" i="17"/>
  <c r="AE97" i="17"/>
  <c r="AA98" i="17"/>
  <c r="AC98" i="17"/>
  <c r="AD98" i="17"/>
  <c r="AE98" i="17"/>
  <c r="AF98" i="17"/>
  <c r="BF98" i="17"/>
  <c r="AA99" i="17"/>
  <c r="AB99" i="17"/>
  <c r="AC99" i="17"/>
  <c r="AD99" i="17"/>
  <c r="AE99" i="17"/>
  <c r="AF99" i="17" s="1"/>
  <c r="BF99" i="17"/>
  <c r="AB100" i="17"/>
  <c r="AC100" i="17"/>
  <c r="AD100" i="17"/>
  <c r="N112" i="17"/>
  <c r="N113" i="17"/>
  <c r="Q113" i="17" s="1"/>
  <c r="Q114" i="17"/>
  <c r="Y114" i="17"/>
  <c r="E129" i="17"/>
  <c r="E131" i="17"/>
  <c r="E132" i="17"/>
  <c r="E133" i="17"/>
  <c r="C134" i="17"/>
  <c r="E134" i="17" s="1"/>
  <c r="C135" i="17"/>
  <c r="E135" i="17" s="1"/>
  <c r="C136" i="17"/>
  <c r="E136" i="17" s="1"/>
  <c r="C137" i="17"/>
  <c r="E137" i="17" s="1"/>
  <c r="C138" i="17"/>
  <c r="E138" i="17" s="1"/>
  <c r="C139" i="17"/>
  <c r="E139" i="17" s="1"/>
  <c r="E140" i="17"/>
  <c r="C141" i="17"/>
  <c r="E141" i="17" s="1"/>
  <c r="C142" i="17"/>
  <c r="E142" i="17" s="1"/>
  <c r="C143" i="17"/>
  <c r="E143" i="17" s="1"/>
  <c r="E144" i="17"/>
  <c r="E145" i="17"/>
  <c r="C146" i="17"/>
  <c r="E146" i="17" s="1"/>
  <c r="E147" i="17"/>
  <c r="E148" i="17"/>
  <c r="E149" i="17"/>
  <c r="C150" i="17"/>
  <c r="E150" i="17" s="1"/>
  <c r="C151" i="17"/>
  <c r="E151" i="17" s="1"/>
  <c r="C152" i="17"/>
  <c r="E152" i="17" s="1"/>
  <c r="C153" i="17"/>
  <c r="E153" i="17" s="1"/>
  <c r="E154" i="17"/>
  <c r="E155" i="17"/>
  <c r="C156" i="17"/>
  <c r="E156" i="17" s="1"/>
  <c r="E158" i="17"/>
  <c r="C159" i="17"/>
  <c r="E159" i="17" s="1"/>
  <c r="C160" i="17"/>
  <c r="E160" i="17" s="1"/>
  <c r="C161" i="17"/>
  <c r="E161" i="17" s="1"/>
  <c r="C162" i="17"/>
  <c r="E162" i="17" s="1"/>
  <c r="C163" i="17"/>
  <c r="E163" i="17" s="1"/>
  <c r="C164" i="17"/>
  <c r="E164" i="17" s="1"/>
  <c r="C165" i="17"/>
  <c r="E165" i="17" s="1"/>
  <c r="E166" i="17"/>
  <c r="C167" i="17"/>
  <c r="E167" i="17" s="1"/>
  <c r="E168" i="17"/>
  <c r="E169" i="17"/>
  <c r="E171" i="17"/>
  <c r="AN171" i="17"/>
  <c r="E172" i="17"/>
  <c r="D174" i="17"/>
  <c r="E181" i="17" s="1"/>
  <c r="BF15" i="17"/>
  <c r="BF16" i="17"/>
  <c r="BF20" i="17"/>
  <c r="BF22" i="17"/>
  <c r="BF17" i="17"/>
  <c r="BF18" i="17"/>
  <c r="BF14" i="17"/>
  <c r="BF23" i="17"/>
  <c r="BF89" i="17"/>
  <c r="AB23" i="17"/>
  <c r="AE23" i="17"/>
  <c r="AF23" i="17" s="1"/>
  <c r="AE54" i="17"/>
  <c r="AD89" i="17"/>
  <c r="BF76" i="17"/>
  <c r="BF79" i="17"/>
  <c r="AF100" i="17"/>
  <c r="AG56" i="17"/>
  <c r="AG86" i="17"/>
  <c r="BF90" i="17" l="1"/>
  <c r="AG94" i="17"/>
  <c r="AF41" i="17"/>
  <c r="AG41" i="17"/>
  <c r="AG38" i="17"/>
  <c r="AG14" i="17"/>
  <c r="BG74" i="17"/>
  <c r="AG26" i="17"/>
  <c r="AG43" i="17"/>
  <c r="AF20" i="17"/>
  <c r="AG82" i="17"/>
  <c r="AG79" i="17"/>
  <c r="AG70" i="17"/>
  <c r="AG71" i="17"/>
  <c r="AG97" i="17"/>
  <c r="BF59" i="17"/>
  <c r="AG17" i="17"/>
  <c r="BG48" i="17"/>
  <c r="AG98" i="17"/>
  <c r="AG18" i="17"/>
  <c r="BF60" i="17"/>
  <c r="BF73" i="17"/>
  <c r="AG55" i="17"/>
  <c r="AG22" i="17"/>
  <c r="AG50" i="17"/>
  <c r="AG89" i="17"/>
  <c r="N116" i="17"/>
  <c r="AG84" i="17"/>
  <c r="AG73" i="17"/>
  <c r="AG19" i="17"/>
  <c r="AG28" i="17"/>
  <c r="BF66" i="17"/>
  <c r="AG47" i="17"/>
  <c r="BF93" i="17"/>
  <c r="AF14" i="17"/>
  <c r="BG61" i="17"/>
  <c r="AG77" i="17"/>
  <c r="AG67" i="17"/>
  <c r="Z106" i="17"/>
  <c r="BF75" i="17"/>
  <c r="AG30" i="17"/>
  <c r="C174" i="17"/>
  <c r="E174" i="17" s="1"/>
  <c r="AB106" i="17"/>
  <c r="AG64" i="17"/>
  <c r="BF97" i="17"/>
  <c r="BG62" i="17"/>
  <c r="AF94" i="17"/>
  <c r="AC106" i="17"/>
  <c r="AG63" i="17"/>
  <c r="AG58" i="17"/>
  <c r="AG46" i="17"/>
  <c r="AF38" i="17"/>
  <c r="AE106" i="17"/>
  <c r="K19" i="22"/>
  <c r="BF87" i="17"/>
  <c r="AG66" i="17"/>
  <c r="BF71" i="17"/>
  <c r="AG100" i="17"/>
  <c r="AG68" i="17"/>
  <c r="AD106" i="17"/>
  <c r="AG59" i="17"/>
  <c r="AG54" i="17"/>
  <c r="AA106" i="17"/>
  <c r="AG60" i="17"/>
  <c r="AG35" i="17"/>
  <c r="AG32" i="17"/>
  <c r="AG39" i="17"/>
  <c r="AG49" i="17"/>
  <c r="AG44" i="17"/>
  <c r="AG85" i="17"/>
  <c r="AG81" i="17"/>
  <c r="AG69" i="17"/>
  <c r="AG57" i="17"/>
  <c r="AG96" i="17"/>
  <c r="AG65" i="17"/>
  <c r="AF58" i="17"/>
  <c r="AN92" i="17"/>
  <c r="AL92" i="17"/>
  <c r="AG72" i="17"/>
  <c r="AG53" i="17"/>
  <c r="AG45" i="17"/>
  <c r="AG76" i="17"/>
  <c r="AG42" i="17"/>
  <c r="AG40" i="17"/>
  <c r="AG99" i="17"/>
  <c r="AG34" i="17"/>
  <c r="AG88" i="17"/>
  <c r="AG80" i="17"/>
  <c r="AG36" i="17"/>
  <c r="AG29" i="17"/>
  <c r="AG25" i="17"/>
  <c r="AG16" i="17"/>
  <c r="AG48" i="17"/>
  <c r="AZ92" i="17"/>
  <c r="AF73" i="17"/>
  <c r="AF31" i="17"/>
  <c r="AJ92" i="17"/>
  <c r="AG90" i="17"/>
  <c r="AG61" i="17"/>
  <c r="AF59" i="17"/>
  <c r="AG21" i="17"/>
  <c r="BB92" i="17"/>
  <c r="AG62" i="17"/>
  <c r="AV92" i="17"/>
  <c r="AG74" i="17"/>
  <c r="AG15" i="17"/>
  <c r="AG37" i="17"/>
  <c r="AG93" i="17"/>
  <c r="AF54" i="17"/>
  <c r="AF68" i="17"/>
  <c r="AG91" i="17"/>
  <c r="AL91" i="17" s="1"/>
  <c r="AG83" i="17"/>
  <c r="AG24" i="17"/>
  <c r="I117" i="17"/>
  <c r="AG87" i="17"/>
  <c r="AG23" i="17"/>
  <c r="AF97" i="17"/>
  <c r="Q112" i="17"/>
  <c r="Q116" i="17" s="1"/>
  <c r="AH92" i="17"/>
  <c r="AX92" i="17"/>
  <c r="AF33" i="17"/>
  <c r="AG75" i="17"/>
  <c r="AP92" i="17"/>
  <c r="AT92" i="17"/>
  <c r="BD92" i="17"/>
  <c r="AR92" i="17"/>
  <c r="AG78" i="17"/>
  <c r="AF106" i="17" l="1"/>
  <c r="AG106" i="17"/>
  <c r="AL106" i="17"/>
  <c r="AM111" i="17" s="1"/>
  <c r="AN91" i="17"/>
  <c r="AR91" i="17"/>
  <c r="AR106" i="17" s="1"/>
  <c r="AS111" i="17" s="1"/>
  <c r="AJ91" i="17"/>
  <c r="AH91" i="17"/>
  <c r="AH106" i="17" s="1"/>
  <c r="AP91" i="17"/>
  <c r="AP106" i="17" s="1"/>
  <c r="AQ111" i="17" s="1"/>
  <c r="AV91" i="17"/>
  <c r="BF92" i="17"/>
  <c r="BD91" i="17"/>
  <c r="BD106" i="17" s="1"/>
  <c r="BE111" i="17" s="1"/>
  <c r="AZ91" i="17"/>
  <c r="BB91" i="17"/>
  <c r="AX91" i="17"/>
  <c r="AT91" i="17"/>
  <c r="AT106" i="17" s="1"/>
  <c r="AU111" i="17" s="1"/>
  <c r="AZ106" i="17" l="1"/>
  <c r="BA111" i="17" s="1"/>
  <c r="AN106" i="17"/>
  <c r="AO111" i="17" s="1"/>
  <c r="AX106" i="17"/>
  <c r="AY111" i="17" s="1"/>
  <c r="AJ106" i="17"/>
  <c r="AK111" i="17" s="1"/>
  <c r="BB106" i="17"/>
  <c r="BC111" i="17" s="1"/>
  <c r="AV106" i="17"/>
  <c r="AW111" i="17" s="1"/>
  <c r="BF91" i="17"/>
  <c r="BF106" i="17" s="1"/>
  <c r="AI111" i="17"/>
  <c r="BG106" i="17" l="1"/>
  <c r="BG108" i="17" s="1"/>
  <c r="BF10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Usuario</author>
    <author>Hp</author>
    <author>Jonnatan</author>
  </authors>
  <commentList>
    <comment ref="Z1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50 </t>
        </r>
      </text>
    </comment>
    <comment ref="BB1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50 </t>
        </r>
      </text>
    </comment>
    <comment ref="Z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AP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7 MAYO 2019. TESORERIA.</t>
        </r>
      </text>
    </comment>
    <comment ref="BB2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2,28</t>
        </r>
      </text>
    </comment>
    <comment ref="AP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SR. MILTON REINOSO.  23 MAYO 2019</t>
        </r>
      </text>
    </comment>
    <comment ref="BB22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2,28</t>
        </r>
      </text>
    </comment>
    <comment ref="Z23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150</t>
        </r>
      </text>
    </comment>
    <comment ref="AV23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150</t>
        </r>
      </text>
    </comment>
    <comment ref="AX23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SR. REINOSO.: 10, 17 SEPT. 2019</t>
        </r>
      </text>
    </comment>
    <comment ref="AZ2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1 oct. 2019. milton reinoso. 
22 OCT. 2019</t>
        </r>
      </text>
    </comment>
    <comment ref="Z25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MODICFICACION INTER SEGÚN RESOLUCION PRESUPUETARIA 7624 DE  09/12/2020,SE DISMINUYE 23,80</t>
        </r>
      </text>
    </comment>
    <comment ref="BD25" authorId="0" shapeId="0" xr:uid="{00000000-0006-0000-0000-00000E000000}">
      <text>
        <r>
          <rPr>
            <sz val="9"/>
            <color indexed="81"/>
            <rFont val="Tahoma"/>
            <charset val="1"/>
          </rPr>
          <t xml:space="preserve">
MODICFICACION INTER SEGÚN RESOLUCION PRESUPUETARIA 7624 DE  09/12/2020 SE DISMINUYE 23,80</t>
        </r>
      </text>
    </comment>
    <comment ref="Z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BB2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2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10</t>
        </r>
      </text>
    </comment>
    <comment ref="BB2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10</t>
        </r>
      </text>
    </comment>
    <comment ref="Z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27</t>
        </r>
      </text>
    </comment>
    <comment ref="B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27</t>
        </r>
      </text>
    </comment>
    <comment ref="Z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
Según resoluciòn institucional MDF-G-GBOL 1805 DE 10/11/2020, se disminuye 150</t>
        </r>
      </text>
    </comment>
    <comment ref="BB3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150</t>
        </r>
      </text>
    </comment>
    <comment ref="Z3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Según resoluciòn institucional MDF-G-GBOL 1805 DE 10/11/2020, se disminuye 20</t>
        </r>
      </text>
    </comment>
    <comment ref="BB3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20</t>
        </r>
      </text>
    </comment>
    <comment ref="Z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23
SEGUN RESOLUCION INTER 8119 DEL 25/12/2020 SE DISMINUIYE 31,59</t>
        </r>
      </text>
    </comment>
    <comment ref="AH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COMPRAS PUBLICAS. 10 ENERO 2019</t>
        </r>
      </text>
    </comment>
    <comment ref="BB33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disminuye 23</t>
        </r>
      </text>
    </comment>
    <comment ref="Z34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62,21
SEGUN RESOLUCION INTER 8119 DEL 25/12/2020 SE DISMINUIYE 57,79</t>
        </r>
      </text>
    </comment>
    <comment ref="AT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Mediante Resolucion Institucional MDG-BOL--- de 21 de julio 2020 se disminuye 62,21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62,21</t>
        </r>
      </text>
    </comment>
    <comment ref="Z35" authorId="0" shapeId="0" xr:uid="{00000000-0006-0000-0000-00001F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40</t>
        </r>
      </text>
    </comment>
    <comment ref="Z38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V38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Z47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V47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40</t>
        </r>
      </text>
    </comment>
    <comment ref="AJ4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COMPRAS PUBLICAS. 20 FEB. 2019</t>
        </r>
      </text>
    </comment>
    <comment ref="AL4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26 marzo 2019. COMPRAS PUBLICAS </t>
        </r>
      </text>
    </comment>
    <comment ref="AR4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COMPRAS PUBLICAS.  6 JUNIO 2019</t>
        </r>
        <r>
          <rPr>
            <sz val="9"/>
            <color indexed="81"/>
            <rFont val="Tahoma"/>
            <family val="2"/>
          </rPr>
          <t xml:space="preserve">
13 JUNIO 2019</t>
        </r>
      </text>
    </comment>
    <comment ref="AX48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COMPRAS PUBLICAS 9 SEPT. 2019</t>
        </r>
      </text>
    </comment>
    <comment ref="AZ4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MDG-GBOL-2019-2006, 04 10 2019, SE DISMINUYE 250
</t>
        </r>
      </text>
    </comment>
    <comment ref="Z50" authorId="1" shapeId="0" xr:uid="{00000000-0006-0000-0000-000029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577,45</t>
        </r>
      </text>
    </comment>
    <comment ref="AJ5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COMPRAS PUBLICAS.  6 FEBRERO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0" authorId="1" shapeId="0" xr:uid="{00000000-0006-0000-0000-00002B000000}">
      <text>
        <r>
          <rPr>
            <sz val="9"/>
            <color indexed="81"/>
            <rFont val="Tahoma"/>
            <family val="2"/>
          </rPr>
          <t xml:space="preserve"> Mediante Resolucion Institucional MDG-BOL-0809 de 8 de mayo 2020 se disminuye 577,45
</t>
        </r>
      </text>
    </comment>
    <comment ref="Z54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Mediante resolucion institucional GBOL-2020-1184 del  07/08/2020 se disminuye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31 Enero 2020: Sr. Reinoso y Lic. Zapata.</t>
        </r>
      </text>
    </comment>
    <comment ref="AV54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50</t>
        </r>
      </text>
    </comment>
    <comment ref="Z58" authorId="1" shapeId="0" xr:uid="{00000000-0006-0000-0000-00002F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696.
MODIFICACION PRESUP. RES. INST.   26 NOV. 2020. SE INCREMENTA 561,41
</t>
        </r>
      </text>
    </comment>
    <comment ref="AN58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8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MDG-BOL-0809 de 8 de mayo 2020 se disminuye 696
</t>
        </r>
      </text>
    </comment>
    <comment ref="AR5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compras publicas:
3 junio 2019</t>
        </r>
        <r>
          <rPr>
            <sz val="9"/>
            <color indexed="81"/>
            <rFont val="Tahoma"/>
            <family val="2"/>
          </rPr>
          <t xml:space="preserve">
6 JUNIO 2019</t>
        </r>
      </text>
    </comment>
    <comment ref="AZ5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UMEDIANTE RESOLUCION INSTITUCIONAL MDG-GBOL-2019-2006, 04 10 2019, SE DISMINUYE 345,44</t>
        </r>
      </text>
    </comment>
    <comment ref="BB58" authorId="2" shapeId="0" xr:uid="{00000000-0006-0000-0000-000034000000}">
      <text>
        <r>
          <rPr>
            <sz val="9"/>
            <color indexed="81"/>
            <rFont val="Tahoma"/>
            <family val="2"/>
          </rPr>
          <t xml:space="preserve">COMPRAS PUBLICAS  30 NOVIEMBRE 2020
</t>
        </r>
      </text>
    </comment>
    <comment ref="Y59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DISMINUYE -54.88</t>
        </r>
      </text>
    </comment>
    <comment ref="Z59" authorId="2" shapeId="0" xr:uid="{00000000-0006-0000-0000-000036000000}">
      <text>
        <r>
          <rPr>
            <sz val="9"/>
            <color indexed="81"/>
            <rFont val="Tahoma"/>
            <family val="2"/>
          </rPr>
          <t xml:space="preserve">MODIF. PRESU. RESOL. INST. 26 NOV. 2020. SE INCREMENTA 1979,70
</t>
        </r>
      </text>
    </comment>
    <comment ref="AH59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DISMINUYE -54.88</t>
        </r>
      </text>
    </comment>
    <comment ref="AJ5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13 FEBRERO 2020. COMPRAS PUBLICAS </t>
        </r>
      </text>
    </comment>
    <comment ref="AP59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distribuidos para los 8 meses restantes
</t>
        </r>
      </text>
    </comment>
    <comment ref="AR59" authorId="3" shapeId="0" xr:uid="{00000000-0006-0000-0000-00003A000000}">
      <text>
        <r>
          <rPr>
            <sz val="9"/>
            <color indexed="81"/>
            <rFont val="Tahoma"/>
            <family val="2"/>
          </rPr>
          <t>COMPRAS PUBLICAS. 12 JUINIO 2020
30 JUNIO 2020</t>
        </r>
      </text>
    </comment>
    <comment ref="AT59" authorId="1" shapeId="0" xr:uid="{00000000-0006-0000-0000-00003B000000}">
      <text>
        <r>
          <rPr>
            <sz val="9"/>
            <color indexed="81"/>
            <rFont val="Tahoma"/>
            <family val="2"/>
          </rPr>
          <t xml:space="preserve">COMPRAS PUBLICAS. 15 JULIO 2020.
</t>
        </r>
      </text>
    </comment>
    <comment ref="AV59" authorId="3" shapeId="0" xr:uid="{00000000-0006-0000-0000-00003C000000}">
      <text>
        <r>
          <rPr>
            <b/>
            <sz val="9"/>
            <color indexed="81"/>
            <rFont val="Tahoma"/>
            <family val="2"/>
          </rPr>
          <t>COMPRAS PUBLICAS. 28 AGOSTO 2020.</t>
        </r>
      </text>
    </comment>
    <comment ref="AX59" authorId="3" shapeId="0" xr:uid="{00000000-0006-0000-0000-00003D000000}">
      <text>
        <r>
          <rPr>
            <sz val="9"/>
            <color indexed="81"/>
            <rFont val="Tahoma"/>
            <family val="2"/>
          </rPr>
          <t xml:space="preserve">COMPRAS PUBLICAS. 25 SEPTIEMBRE 2020.
</t>
        </r>
      </text>
    </comment>
    <comment ref="AZ59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COMPRAS PUBLICAS: 5 OCTUBRE 2020.
COMPRAS PUBLICAS 27/10/2020</t>
        </r>
      </text>
    </comment>
    <comment ref="BB59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COMPRAS PUBLICAS 16 NOV. 2020.
20 NOVIEMBRE 2020.
30 NOVIEMBRE 2020</t>
        </r>
      </text>
    </comment>
    <comment ref="BD59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distribuidos para los 8 meses restantes
Mediante resolucion institucional GBOL-2020-1184 del  07/08/2020 se disminuye 343 dividido para los 5 meses
COMPRAS PUBLICAS. 2 DICIEMBRE 2020.</t>
        </r>
      </text>
    </comment>
    <comment ref="Z60" authorId="1" shapeId="0" xr:uid="{00000000-0006-0000-0000-000041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2000 .
Mediante Resolucion Institucional MDG-BOL-0--  de  de julio 2020 se disminuye 563
Mediante resolucion institucional GBOL-2020-1184 del  07/08/2020 se disminuye 563
Mediante resolucion institucional GBOL-2020-1184 del  07/08/2020 se disminuye 563
</t>
        </r>
      </text>
    </comment>
    <comment ref="AH60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31 Enero 2020. Sr. Reinoso y Lic. Zapata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60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COMPRAS PUBLICAS, 17 febrero 2020.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0" authorId="1" shapeId="0" xr:uid="{00000000-0006-0000-0000-000044000000}">
      <text>
        <r>
          <rPr>
            <sz val="9"/>
            <color indexed="81"/>
            <rFont val="Tahoma"/>
            <family val="2"/>
          </rPr>
          <t xml:space="preserve">compras publicas 16 de abril
</t>
        </r>
      </text>
    </comment>
    <comment ref="AP60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MDG-BOL-0809 de 8 de mayo 2020 se disminuye 2000 distribuido para los 8 meses restantes </t>
        </r>
        <r>
          <rPr>
            <sz val="9"/>
            <color indexed="81"/>
            <rFont val="Tahoma"/>
            <family val="2"/>
          </rPr>
          <t xml:space="preserve">
18 MAYO. COMPRAS PUBLICAS.</t>
        </r>
      </text>
    </comment>
    <comment ref="AR60" authorId="1" shapeId="0" xr:uid="{00000000-0006-0000-0000-000046000000}">
      <text>
        <r>
          <rPr>
            <sz val="9"/>
            <color indexed="81"/>
            <rFont val="Tahoma"/>
            <family val="2"/>
          </rPr>
          <t xml:space="preserve">COMPRAS PUBLICAS. 19 JUNIO 2020.
</t>
        </r>
      </text>
    </comment>
    <comment ref="AT60" authorId="1" shapeId="0" xr:uid="{00000000-0006-0000-0000-000047000000}">
      <text>
        <r>
          <rPr>
            <sz val="9"/>
            <color indexed="81"/>
            <rFont val="Tahoma"/>
            <family val="2"/>
          </rPr>
          <t>21 JULIO 2020.   COMPRAS PUBLICAS
Mediante Resolucion Institucional MDG-BOL-0--  de  de julio 2020 se disminuye 563</t>
        </r>
      </text>
    </comment>
    <comment ref="AV60" authorId="3" shapeId="0" xr:uid="{00000000-0006-0000-0000-000048000000}">
      <text>
        <r>
          <rPr>
            <sz val="9"/>
            <color indexed="81"/>
            <rFont val="Tahoma"/>
            <family val="2"/>
          </rPr>
          <t xml:space="preserve">13 AGOSTO 2020. COMPRAS PUBLICAS.
</t>
        </r>
      </text>
    </comment>
    <comment ref="AX60" authorId="3" shapeId="0" xr:uid="{00000000-0006-0000-0000-000049000000}">
      <text>
        <r>
          <rPr>
            <sz val="9"/>
            <color indexed="81"/>
            <rFont val="Tahoma"/>
            <family val="2"/>
          </rPr>
          <t xml:space="preserve">COMPRAS PUBLICAS. 15 SEPT. 2020.
</t>
        </r>
      </text>
    </comment>
    <comment ref="AZ60" authorId="1" shapeId="0" xr:uid="{00000000-0006-0000-0000-00004A000000}">
      <text>
        <r>
          <rPr>
            <sz val="9"/>
            <color indexed="81"/>
            <rFont val="Tahoma"/>
            <family val="2"/>
          </rPr>
          <t>21 JULIO 2020.   COMPRAS PUBLICAS
Mediante resolucion institucional GBOL-2020-1184 del  07/08/2020 se disminuye 563 dividico para los 5 meses
Compras publicas 20 /10/2020</t>
        </r>
      </text>
    </comment>
    <comment ref="BB60" authorId="1" shapeId="0" xr:uid="{00000000-0006-0000-0000-00004B000000}">
      <text>
        <r>
          <rPr>
            <sz val="9"/>
            <color indexed="81"/>
            <rFont val="Tahoma"/>
            <family val="2"/>
          </rPr>
          <t>21 JULIO 2020.   COMPRAS PUBLICAS
COMPRAS PUBLICAS. 6 NOVIEMBRE 2020.</t>
        </r>
      </text>
    </comment>
    <comment ref="BD60" authorId="1" shapeId="0" xr:uid="{00000000-0006-0000-0000-00004C000000}">
      <text>
        <r>
          <rPr>
            <sz val="9"/>
            <color indexed="81"/>
            <rFont val="Tahoma"/>
            <family val="2"/>
          </rPr>
          <t>21 JULIO 2020.   COMPRAS PUBLICAS
COMPRAS PUBLICAS: 8 DICIEMBRE 2020 (2)</t>
        </r>
      </text>
    </comment>
    <comment ref="Z61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DISMINUYE 39,47</t>
        </r>
      </text>
    </comment>
    <comment ref="AR61" authorId="3" shapeId="0" xr:uid="{00000000-0006-0000-0000-00004E000000}">
      <text>
        <r>
          <rPr>
            <sz val="9"/>
            <color indexed="81"/>
            <rFont val="Tahoma"/>
            <family val="2"/>
          </rPr>
          <t>COMPRAS PUBLICAS.   5 JUNIO 2020.</t>
        </r>
      </text>
    </comment>
    <comment ref="BB61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DISMINUYE 39,47</t>
        </r>
      </text>
    </comment>
    <comment ref="Z62" authorId="1" shapeId="0" xr:uid="{00000000-0006-0000-0000-000050000000}">
      <text>
        <r>
          <rPr>
            <sz val="9"/>
            <color indexed="81"/>
            <rFont val="Tahoma"/>
            <family val="2"/>
          </rPr>
          <t xml:space="preserve">Mediante Resolucion Institucional MDG-BOL-0809 de 8 de mayo 2020 se disminuye 191,54
</t>
        </r>
      </text>
    </comment>
    <comment ref="AJ6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Compras Publicas 23 de Enero 2020</t>
        </r>
      </text>
    </comment>
    <comment ref="AP62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COMPRAS PUBLICAS
29 mayo 2019</t>
        </r>
      </text>
    </comment>
    <comment ref="AX62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COMPRAS PUBLICAS: 19 SEPT. 2019</t>
        </r>
      </text>
    </comment>
    <comment ref="AZ6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MEDIANTE RESOLUCION INSTITUCIONAL MDG-GBOL-2019-2006, 04 10 2019, SE DISMINUYE 1349,00</t>
        </r>
      </text>
    </comment>
    <comment ref="Y63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 xml:space="preserve"> 22 ENERO 2020 RESOLUCION INSTITUCIONAL BOL 2020-173, SE ASIGNA +54.88</t>
        </r>
      </text>
    </comment>
    <comment ref="AH63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22 ENERO 2020 RESOLUCION INSTITUCIONAL BOL 2020-173, SE ASIGNA +54.88
31 ENERO 2020.  COMPRAS PUBLICAS </t>
        </r>
      </text>
    </comment>
    <comment ref="Z64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343
MODIFICACION PRESUP. RES. INST.   26 NOV. 2020. SE INCREMENTA 642,64
</t>
        </r>
      </text>
    </comment>
    <comment ref="AJ64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13 FEBRERO 2020. COMPRAS PUBLICAS.   26 febrero 2020</t>
        </r>
      </text>
    </comment>
    <comment ref="AP64" authorId="0" shapeId="0" xr:uid="{00000000-0006-0000-0000-000059000000}">
      <text>
        <r>
          <rPr>
            <sz val="9"/>
            <color indexed="81"/>
            <rFont val="Tahoma"/>
            <family val="2"/>
          </rPr>
          <t>COMPRAS PUBLICAS. 8 MAYO 2019
28 MAYO 2019</t>
        </r>
      </text>
    </comment>
    <comment ref="AR64" authorId="3" shapeId="0" xr:uid="{00000000-0006-0000-0000-00005A000000}">
      <text>
        <r>
          <rPr>
            <sz val="9"/>
            <color indexed="81"/>
            <rFont val="Tahoma"/>
            <family val="2"/>
          </rPr>
          <t xml:space="preserve">COMPRAS PUBLICAS 30 JUNIO 2020
</t>
        </r>
      </text>
    </comment>
    <comment ref="AT64" authorId="1" shapeId="0" xr:uid="{00000000-0006-0000-0000-00005B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 de 21 de julio 2020 se disminuye 343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4" authorId="3" shapeId="0" xr:uid="{00000000-0006-0000-0000-00005C000000}">
      <text>
        <r>
          <rPr>
            <sz val="9"/>
            <color indexed="81"/>
            <rFont val="Tahoma"/>
            <family val="2"/>
          </rPr>
          <t xml:space="preserve">COMPRAS PUBLICAS. 28 AG. 2020
</t>
        </r>
      </text>
    </comment>
    <comment ref="AX64" authorId="3" shapeId="0" xr:uid="{00000000-0006-0000-0000-00005D000000}">
      <text>
        <r>
          <rPr>
            <sz val="9"/>
            <color indexed="81"/>
            <rFont val="Tahoma"/>
            <family val="2"/>
          </rPr>
          <t>COMPRAS PUBLICAS 
25 SEPTIEMBRE 2020</t>
        </r>
      </text>
    </comment>
    <comment ref="AZ64" authorId="3" shapeId="0" xr:uid="{00000000-0006-0000-0000-00005E000000}">
      <text>
        <r>
          <rPr>
            <sz val="9"/>
            <color indexed="81"/>
            <rFont val="Tahoma"/>
            <family val="2"/>
          </rPr>
          <t xml:space="preserve">COMPRAS PUBLICAS. 5 OCTUBRE 2020.
</t>
        </r>
      </text>
    </comment>
    <comment ref="BB64" authorId="2" shapeId="0" xr:uid="{00000000-0006-0000-0000-00005F000000}">
      <text>
        <r>
          <rPr>
            <sz val="9"/>
            <color indexed="81"/>
            <rFont val="Tahoma"/>
            <family val="2"/>
          </rPr>
          <t>COMPRAS PUBLICAS 20 NOV. 2020.
30 NOVIEMBRE 2020</t>
        </r>
      </text>
    </comment>
    <comment ref="BD64" authorId="2" shapeId="0" xr:uid="{00000000-0006-0000-0000-000060000000}">
      <text>
        <r>
          <rPr>
            <sz val="9"/>
            <color indexed="81"/>
            <rFont val="Tahoma"/>
            <charset val="1"/>
          </rPr>
          <t xml:space="preserve"> COMPRAS PUBLICAS 2 DICIEMBRE 2020-
</t>
        </r>
      </text>
    </comment>
    <comment ref="Z66" authorId="1" shapeId="0" xr:uid="{00000000-0006-0000-0000-000061000000}">
      <text>
        <r>
          <rPr>
            <sz val="9"/>
            <color indexed="81"/>
            <rFont val="Tahoma"/>
            <family val="2"/>
          </rPr>
          <t>Modificacion de traspaso 16 de marzo
Mediante Resolucion Institucional MDG-BOL-0809 de 8 de mayo 2020 se disminuye 608,42 Mediante resolucion institucional GBOL-2020-1184 del  07/08/2020 se disminuye 515,65</t>
        </r>
      </text>
    </comment>
    <comment ref="AJ66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COMPRAS PUBLICAS.  16 ENERO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66" authorId="1" shapeId="0" xr:uid="{00000000-0006-0000-0000-000063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608,42</t>
        </r>
      </text>
    </comment>
    <comment ref="AR66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COMPRAS PUBLICAS. 4 JUNIO 2019(2)</t>
        </r>
      </text>
    </comment>
    <comment ref="AV66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Mediante resolucion institucional GBOL-2020-1184 del  07/08/2020 se disminuye 515,65</t>
        </r>
      </text>
    </comment>
    <comment ref="Z67" authorId="1" shapeId="0" xr:uid="{00000000-0006-0000-0000-000066000000}">
      <text>
        <r>
          <rPr>
            <sz val="9"/>
            <color indexed="81"/>
            <rFont val="Tahoma"/>
            <family val="2"/>
          </rPr>
          <t xml:space="preserve">Mediante Resolucion Institucional MDG-BOL-0809 de 8 de mayo 2020 se disminuye 202,72
</t>
        </r>
      </text>
    </comment>
    <comment ref="AJ67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COMPRAS PUBLICAS.  16 ENERO 2020</t>
        </r>
      </text>
    </comment>
    <comment ref="AP67" authorId="1" shapeId="0" xr:uid="{00000000-0006-0000-0000-000068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202,72</t>
        </r>
      </text>
    </comment>
    <comment ref="AT67" authorId="3" shapeId="0" xr:uid="{00000000-0006-0000-0000-000069000000}">
      <text>
        <r>
          <rPr>
            <sz val="9"/>
            <color indexed="81"/>
            <rFont val="Tahoma"/>
            <family val="2"/>
          </rPr>
          <t xml:space="preserve">compras publicas. 17 julio 2020
</t>
        </r>
      </text>
    </comment>
    <comment ref="Z68" authorId="1" shapeId="0" xr:uid="{00000000-0006-0000-0000-00006A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100</t>
        </r>
      </text>
    </comment>
    <comment ref="AH68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16 ENERO 2018.  COMPRAS PUBLICAS</t>
        </r>
      </text>
    </comment>
    <comment ref="AP68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Mediante Resolucion Institucional MDG-BOL-0809 de 8 de mayo 2020 se disminuye 100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71" authorId="1" shapeId="0" xr:uid="{00000000-0006-0000-0000-00006D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1662,51
SEGUN RESOLUCION INTER 8119 DEL 25/12/2020 SE DISMINUIYE 719,20</t>
        </r>
      </text>
    </comment>
    <comment ref="AH71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COMPRAS PUBLICAS. 15 ENERO 2020</t>
        </r>
      </text>
    </comment>
    <comment ref="AJ71" authorId="0" shapeId="0" xr:uid="{00000000-0006-0000-0000-00006F000000}">
      <text>
        <r>
          <rPr>
            <sz val="9"/>
            <color indexed="81"/>
            <rFont val="Tahoma"/>
            <family val="2"/>
          </rPr>
          <t xml:space="preserve">compras publicas 4 de febrero
</t>
        </r>
      </text>
    </comment>
    <comment ref="AL71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 xml:space="preserve">COMPRAS PUBLICAS 6 MARZO 2019
</t>
        </r>
      </text>
    </comment>
    <comment ref="AN71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COMPRAS PUBLICAS. 2 ABRIL 2019</t>
        </r>
      </text>
    </comment>
    <comment ref="AP71" authorId="3" shapeId="0" xr:uid="{00000000-0006-0000-0000-000072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R71" authorId="3" shapeId="0" xr:uid="{00000000-0006-0000-0000-000073000000}">
      <text>
        <r>
          <rPr>
            <sz val="9"/>
            <color indexed="81"/>
            <rFont val="Tahoma"/>
            <family val="2"/>
          </rPr>
          <t xml:space="preserve">COMPRAS PUBLICAS 12 JUNIO 2020. </t>
        </r>
      </text>
    </comment>
    <comment ref="AT71" authorId="3" shapeId="0" xr:uid="{00000000-0006-0000-0000-000074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V71" authorId="3" shapeId="0" xr:uid="{00000000-0006-0000-0000-000075000000}">
      <text>
        <r>
          <rPr>
            <sz val="9"/>
            <color indexed="81"/>
            <rFont val="Tahoma"/>
            <family val="2"/>
          </rPr>
          <t>COMPRAS PUBLICAS 4 MAYO 2020
Mediante Resolucion Institucional MDG-BOL-0809 de 8 de mayo 2020 se incrementa 1662,51 distribuidos para los 8 meses restantes</t>
        </r>
      </text>
    </comment>
    <comment ref="AX71" authorId="3" shapeId="0" xr:uid="{00000000-0006-0000-0000-000076000000}">
      <text>
        <r>
          <rPr>
            <sz val="9"/>
            <color indexed="81"/>
            <rFont val="Tahoma"/>
            <family val="2"/>
          </rPr>
          <t xml:space="preserve">COMPRAS PÚBLICAS.  7 SEPTIEMBRE 2020.
</t>
        </r>
      </text>
    </comment>
    <comment ref="AZ71" authorId="3" shapeId="0" xr:uid="{00000000-0006-0000-0000-000077000000}">
      <text>
        <r>
          <rPr>
            <sz val="9"/>
            <color indexed="81"/>
            <rFont val="Tahoma"/>
            <family val="2"/>
          </rPr>
          <t xml:space="preserve">COMPRAS PUBLICAS. 7 OCTUBRE 2020
</t>
        </r>
      </text>
    </comment>
    <comment ref="BB71" authorId="3" shapeId="0" xr:uid="{00000000-0006-0000-0000-000078000000}">
      <text>
        <r>
          <rPr>
            <sz val="9"/>
            <color indexed="81"/>
            <rFont val="Tahoma"/>
            <family val="2"/>
          </rPr>
          <t>COMPRAS PUBLICAS.. 4 NOVIEMBRE 2020.</t>
        </r>
      </text>
    </comment>
    <comment ref="BD71" authorId="3" shapeId="0" xr:uid="{00000000-0006-0000-0000-000079000000}">
      <text>
        <r>
          <rPr>
            <sz val="9"/>
            <color indexed="81"/>
            <rFont val="Tahoma"/>
            <family val="2"/>
          </rPr>
          <t xml:space="preserve">COMPRAS PUBLICAS 4 MAYO 2020
Mediante Resolucion Institucional MDG-BOL-0809 de 8 de mayo 2020 se incrementa 1662,51 distribuidos para los 8 meses restantes.  COMPRAS PUBLICAS 2 DICIEMBRE 2020.
</t>
        </r>
      </text>
    </comment>
    <comment ref="Z72" authorId="0" shapeId="0" xr:uid="{00000000-0006-0000-0000-00007A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 1148,78</t>
        </r>
      </text>
    </comment>
    <comment ref="AH72" authorId="0" shapeId="0" xr:uid="{00000000-0006-0000-0000-00007B000000}">
      <text>
        <r>
          <rPr>
            <sz val="9"/>
            <color indexed="81"/>
            <rFont val="Tahoma"/>
            <family val="2"/>
          </rPr>
          <t xml:space="preserve">COMPRAS PUBLICAS. 14 ENERO 2020
</t>
        </r>
      </text>
    </comment>
    <comment ref="AJ72" authorId="0" shapeId="0" xr:uid="{00000000-0006-0000-0000-00007C000000}">
      <text>
        <r>
          <rPr>
            <sz val="9"/>
            <color indexed="81"/>
            <rFont val="Tahoma"/>
            <family val="2"/>
          </rPr>
          <t xml:space="preserve">Compras públicas 4 de febrero
</t>
        </r>
      </text>
    </comment>
    <comment ref="AP72" authorId="3" shapeId="0" xr:uid="{00000000-0006-0000-0000-00007D000000}">
      <text>
        <r>
          <rPr>
            <sz val="9"/>
            <color indexed="81"/>
            <rFont val="Tahoma"/>
            <family val="2"/>
          </rPr>
          <t xml:space="preserve">compras publicas. 6 mayo 2020
</t>
        </r>
      </text>
    </comment>
    <comment ref="AT72" authorId="1" shapeId="0" xr:uid="{00000000-0006-0000-0000-00007E000000}">
      <text>
        <r>
          <rPr>
            <sz val="9"/>
            <color indexed="81"/>
            <rFont val="Tahoma"/>
            <family val="2"/>
          </rPr>
          <t>Compras Publicas 07/ 07/2020
17 JULIO 2020</t>
        </r>
      </text>
    </comment>
    <comment ref="AV72" authorId="3" shapeId="0" xr:uid="{00000000-0006-0000-0000-00007F000000}">
      <text>
        <r>
          <rPr>
            <sz val="9"/>
            <color indexed="81"/>
            <rFont val="Tahoma"/>
            <family val="2"/>
          </rPr>
          <t xml:space="preserve">COMPRAS PUBLICAS . 18 AGOSTO 2020.
</t>
        </r>
      </text>
    </comment>
    <comment ref="AX72" authorId="3" shapeId="0" xr:uid="{00000000-0006-0000-0000-000080000000}">
      <text>
        <r>
          <rPr>
            <sz val="9"/>
            <color indexed="81"/>
            <rFont val="Tahoma"/>
            <family val="2"/>
          </rPr>
          <t xml:space="preserve">COMPRAS PUBLICAS.  8 SEPT. 2020.
</t>
        </r>
      </text>
    </comment>
    <comment ref="AZ72" authorId="3" shapeId="0" xr:uid="{00000000-0006-0000-0000-000081000000}">
      <text>
        <r>
          <rPr>
            <sz val="9"/>
            <color indexed="81"/>
            <rFont val="Tahoma"/>
            <family val="2"/>
          </rPr>
          <t xml:space="preserve">COMPRAS PUBLICAS. 14 OCTUBRE 2020.
</t>
        </r>
      </text>
    </comment>
    <comment ref="BB72" authorId="2" shapeId="0" xr:uid="{00000000-0006-0000-0000-000082000000}">
      <text>
        <r>
          <rPr>
            <sz val="9"/>
            <color indexed="81"/>
            <rFont val="Tahoma"/>
            <family val="2"/>
          </rPr>
          <t xml:space="preserve">9 NOVIEMBRE 2020. COMPRAS PUBLICAS
</t>
        </r>
      </text>
    </comment>
    <comment ref="BD72" authorId="0" shapeId="0" xr:uid="{00000000-0006-0000-0000-000083000000}">
      <text>
        <r>
          <rPr>
            <b/>
            <sz val="9"/>
            <color indexed="81"/>
            <rFont val="Tahoma"/>
            <charset val="1"/>
          </rPr>
          <t xml:space="preserve">COMPRAS PUBLICAS  4 DICIEMBRE 2020. </t>
        </r>
      </text>
    </comment>
    <comment ref="Z73" authorId="1" shapeId="0" xr:uid="{00000000-0006-0000-0000-000084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
SEGUN RESOLUCION INTER 8119 DEL 25/12/2020 SE DISMINUIYE 0,21</t>
        </r>
      </text>
    </comment>
    <comment ref="AJ7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10 febrero 2020. compras publicas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73" authorId="0" shapeId="0" xr:uid="{00000000-0006-0000-0000-000086000000}">
      <text>
        <r>
          <rPr>
            <sz val="9"/>
            <color indexed="81"/>
            <rFont val="Tahoma"/>
            <family val="2"/>
          </rPr>
          <t xml:space="preserve">COMPRAS PUBLICAS. 11 ABRIL 2019. 
</t>
        </r>
      </text>
    </comment>
    <comment ref="AP73" authorId="1" shapeId="0" xr:uid="{00000000-0006-0000-0000-000087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 distribuido para los 8 meses rstantes</t>
        </r>
      </text>
    </comment>
    <comment ref="AR73" authorId="1" shapeId="0" xr:uid="{00000000-0006-0000-0000-000088000000}">
      <text>
        <r>
          <rPr>
            <sz val="9"/>
            <color indexed="81"/>
            <rFont val="Tahoma"/>
            <family val="2"/>
          </rPr>
          <t>COMPRAS PUBLICAS.  18 JUNIO 2020</t>
        </r>
      </text>
    </comment>
    <comment ref="AT73" authorId="1" shapeId="0" xr:uid="{00000000-0006-0000-0000-000089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incrementa 5094,32 distribuido para los 8 meses rstantes
Compras Publicas 14/07/2020</t>
        </r>
      </text>
    </comment>
    <comment ref="AV73" authorId="3" shapeId="0" xr:uid="{00000000-0006-0000-0000-00008A000000}">
      <text>
        <r>
          <rPr>
            <sz val="9"/>
            <color indexed="81"/>
            <rFont val="Tahoma"/>
            <family val="2"/>
          </rPr>
          <t xml:space="preserve">13 AGOSTO 2020. COMPRAS PUBLICAS
</t>
        </r>
      </text>
    </comment>
    <comment ref="AX73" authorId="3" shapeId="0" xr:uid="{00000000-0006-0000-0000-00008B000000}">
      <text>
        <r>
          <rPr>
            <sz val="9"/>
            <color indexed="81"/>
            <rFont val="Tahoma"/>
            <family val="2"/>
          </rPr>
          <t xml:space="preserve">COMPRAS PUBLICAS. 10 SEPTIEMBRE 2020.
</t>
        </r>
      </text>
    </comment>
    <comment ref="AZ73" authorId="3" shapeId="0" xr:uid="{00000000-0006-0000-0000-00008C000000}">
      <text>
        <r>
          <rPr>
            <sz val="9"/>
            <color indexed="81"/>
            <rFont val="Tahoma"/>
            <family val="2"/>
          </rPr>
          <t xml:space="preserve">COMPRAS PULBLICAS. 13 OCTUBRE 2020.
</t>
        </r>
      </text>
    </comment>
    <comment ref="BB73" authorId="1" shapeId="0" xr:uid="{00000000-0006-0000-0000-00008D000000}">
      <text>
        <r>
          <rPr>
            <sz val="9"/>
            <color indexed="81"/>
            <rFont val="Tahoma"/>
            <family val="2"/>
          </rPr>
          <t>COMPRAS PUBLICAS.  12 NOVIEMBRE 2020.</t>
        </r>
      </text>
    </comment>
    <comment ref="BD73" authorId="1" shapeId="0" xr:uid="{00000000-0006-0000-0000-00008E000000}">
      <text>
        <r>
          <rPr>
            <sz val="9"/>
            <color indexed="81"/>
            <rFont val="Tahoma"/>
            <family val="2"/>
          </rPr>
          <t xml:space="preserve">8 DICIEMBRE 2020. COMPRAS PUBLICAS </t>
        </r>
      </text>
    </comment>
    <comment ref="AJ74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12 febrero 2020. COMPRAS PUBLICAS </t>
        </r>
      </text>
    </comment>
    <comment ref="AN74" authorId="0" shapeId="0" xr:uid="{00000000-0006-0000-0000-000090000000}">
      <text>
        <r>
          <rPr>
            <sz val="9"/>
            <color indexed="81"/>
            <rFont val="Tahoma"/>
            <family val="2"/>
          </rPr>
          <t xml:space="preserve">COMPRAS PUBLICAS
5 ABRIL 2019
</t>
        </r>
      </text>
    </comment>
    <comment ref="AP74" authorId="0" shapeId="0" xr:uid="{00000000-0006-0000-0000-000091000000}">
      <text>
        <r>
          <rPr>
            <sz val="9"/>
            <color indexed="81"/>
            <rFont val="Tahoma"/>
            <family val="2"/>
          </rPr>
          <t xml:space="preserve">COMPRAS PUBLICAS. 7 MAYO 2019
</t>
        </r>
      </text>
    </comment>
    <comment ref="Z75" authorId="1" shapeId="0" xr:uid="{00000000-0006-0000-0000-000092000000}">
      <text>
        <r>
          <rPr>
            <b/>
            <sz val="9"/>
            <color indexed="81"/>
            <rFont val="Tahoma"/>
            <family val="2"/>
          </rPr>
          <t>modificacion de traspaoso 16 de marzo 2020
SEGÚN  RESOLUCION INSTITUCIONAL MDG-GBOL 1806DE 10/11/2020,SE DISMINUYE 35,53</t>
        </r>
      </text>
    </comment>
    <comment ref="AH75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>31 enero 2020. Sr. Reinoso Lic. Zapata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75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COMPRAS PUBLICAS.  11 FEBRERO 2020 (2) 13 FEBRERO 2020 (2)</t>
        </r>
      </text>
    </comment>
    <comment ref="AL75" authorId="3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N75" authorId="3" shapeId="0" xr:uid="{00000000-0006-0000-0000-000096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P75" authorId="3" shapeId="0" xr:uid="{00000000-0006-0000-0000-000097000000}">
      <text>
        <r>
          <rPr>
            <b/>
            <sz val="9"/>
            <color indexed="81"/>
            <rFont val="Tahoma"/>
            <family val="2"/>
          </rPr>
          <t xml:space="preserve">MEDIANTE RS. INSTITUCIONAL  007, DEL 17 MARZO SE INCREMENTA 150.  </t>
        </r>
      </text>
    </comment>
    <comment ref="AR75" authorId="3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T75" authorId="3" shapeId="0" xr:uid="{00000000-0006-0000-0000-000099000000}">
      <text>
        <r>
          <rPr>
            <b/>
            <sz val="9"/>
            <color indexed="81"/>
            <rFont val="Tahoma"/>
            <family val="2"/>
          </rPr>
          <t>COMPRAS PUBLICAS.  17 JULIO 2020</t>
        </r>
      </text>
    </comment>
    <comment ref="AV75" authorId="3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X75" authorId="3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AZ75" authorId="3" shapeId="0" xr:uid="{00000000-0006-0000-0000-00009C000000}">
      <text>
        <r>
          <rPr>
            <b/>
            <sz val="9"/>
            <color indexed="81"/>
            <rFont val="Tahoma"/>
            <family val="2"/>
          </rPr>
          <t>MEDIANTE RS. INSTITUCIONAL DEL 16 MARZO SE INCREMENTA 150.  
COMPRAS PUBLICAS 19/10/2020</t>
        </r>
      </text>
    </comment>
    <comment ref="BB75" authorId="3" shapeId="0" xr:uid="{00000000-0006-0000-0000-00009D000000}">
      <text>
        <r>
          <rPr>
            <b/>
            <sz val="9"/>
            <color indexed="81"/>
            <rFont val="Tahoma"/>
            <family val="2"/>
          </rPr>
          <t>COMPRAS PUBLICAS:  4 NOVIEMBRE 2020.
SEGÚN  RESOLUCION INSTITUCIONAL MDG-GBOL 1806DE 10/11/2020,SE DISMINUYE 35,53</t>
        </r>
      </text>
    </comment>
    <comment ref="BD75" authorId="3" shapeId="0" xr:uid="{00000000-0006-0000-0000-00009E000000}">
      <text>
        <r>
          <rPr>
            <b/>
            <sz val="9"/>
            <color indexed="81"/>
            <rFont val="Tahoma"/>
            <family val="2"/>
          </rPr>
          <t xml:space="preserve">MEDIANTE RS. INSTITUCIONAL DEL 16 MARZO SE INCREMENTA 150.  </t>
        </r>
      </text>
    </comment>
    <comment ref="BB76" authorId="2" shapeId="0" xr:uid="{00000000-0006-0000-0000-00009F000000}">
      <text>
        <r>
          <rPr>
            <sz val="9"/>
            <color indexed="81"/>
            <rFont val="Tahoma"/>
            <family val="2"/>
          </rPr>
          <t xml:space="preserve">COMPRAS PUBLICAS 30 NOVIEMBRE 2020.
</t>
        </r>
      </text>
    </comment>
    <comment ref="Z78" authorId="1" shapeId="0" xr:uid="{00000000-0006-0000-0000-0000A0000000}">
      <text>
        <r>
          <rPr>
            <sz val="9"/>
            <color indexed="81"/>
            <rFont val="Tahoma"/>
            <family val="2"/>
          </rPr>
          <t>Mediante Resolucion Institucional MDG-BOL-0809 de 8 de mayo 2020 se disminuye 262,40
Según resoluciòn institucional MDF-G-GBOL 1805 DE 10/11/2020, se aumenta 90</t>
        </r>
      </text>
    </comment>
    <comment ref="AH78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>31 ENERO 2020. COMPRAS PUBLICAS</t>
        </r>
      </text>
    </comment>
    <comment ref="AP78" authorId="1" shapeId="0" xr:uid="{00000000-0006-0000-0000-0000A2000000}">
      <text>
        <r>
          <rPr>
            <b/>
            <sz val="9"/>
            <color indexed="81"/>
            <rFont val="Tahoma"/>
            <family val="2"/>
          </rPr>
          <t>Mediante Resolucion Institucional MDG-BOL-0809 de 8 de mayo 2020 se disminuye 262,40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78" authorId="1" shapeId="0" xr:uid="{00000000-0006-0000-0000-0000A3000000}">
      <text>
        <r>
          <rPr>
            <b/>
            <sz val="9"/>
            <color indexed="81"/>
            <rFont val="Tahoma"/>
            <family val="2"/>
          </rPr>
          <t>COMPRAS PUBLICAS 27/10/2020: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78" authorId="2" shapeId="0" xr:uid="{00000000-0006-0000-0000-0000A4000000}">
      <text>
        <r>
          <rPr>
            <sz val="9"/>
            <color indexed="81"/>
            <rFont val="Tahoma"/>
            <family val="2"/>
          </rPr>
          <t xml:space="preserve">COMPRAS PUBLICAS. 16 NOVIEMBRE 2020.
</t>
        </r>
      </text>
    </comment>
    <comment ref="Z81" authorId="0" shapeId="0" xr:uid="{00000000-0006-0000-0000-0000A5000000}">
      <text>
        <r>
          <rPr>
            <sz val="9"/>
            <color indexed="81"/>
            <rFont val="Tahoma"/>
            <family val="2"/>
          </rPr>
          <t xml:space="preserve">
Según resoluciòn institucional MDF-G-GBOL 1805 DE 10/11/2020, se aumenta 232,28 
MODICFICACION INTER SEGÚN RESOLUCION PRESUPUETARIA 7624 DE  09/12/2020, SE DISMINUYE 34
SEGUN RESOLUCION INTER 8119 DEL 25/12/2020 SE DISMINUIYE 51</t>
        </r>
      </text>
    </comment>
    <comment ref="BB81" authorId="2" shapeId="0" xr:uid="{00000000-0006-0000-0000-0000A6000000}">
      <text>
        <r>
          <rPr>
            <b/>
            <sz val="9"/>
            <color indexed="81"/>
            <rFont val="Tahoma"/>
            <family val="2"/>
          </rPr>
          <t>COMPRAS PUBLICAS.   19 NOVIEMBRE 2020.</t>
        </r>
      </text>
    </comment>
    <comment ref="BD81" authorId="0" shapeId="0" xr:uid="{00000000-0006-0000-0000-0000A7000000}">
      <text>
        <r>
          <rPr>
            <sz val="9"/>
            <color indexed="81"/>
            <rFont val="Tahoma"/>
            <charset val="1"/>
          </rPr>
          <t xml:space="preserve">
MODICFICACION INTER SEGÚN RESOLUCION PRESUPUETARIA 7624 DE  09/12/2020. SE DISMINUYE 34</t>
        </r>
      </text>
    </comment>
    <comment ref="Z87" authorId="0" shapeId="0" xr:uid="{00000000-0006-0000-0000-0000A8000000}">
      <text>
        <r>
          <rPr>
            <sz val="9"/>
            <color indexed="81"/>
            <rFont val="Tahoma"/>
            <family val="2"/>
          </rPr>
          <t>RESOLUCION PRESUPUESTARIA 4051 DEL 28/07/2020 SE DISMINUYE 52894
MODIFICACION SEGÚN RESOLUCION INSTITUCIONAL 7359 DE 04/12/2020 SE DISMINUYE 6087
SEGUN RESOLUCION INTER 8119 DEL 25/12/2020 SE DISMINUIYE 7155,06</t>
        </r>
      </text>
    </comment>
    <comment ref="AT87" authorId="0" shapeId="0" xr:uid="{00000000-0006-0000-0000-0000A9000000}">
      <text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V87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X87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AZ87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BB87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</t>
        </r>
      </text>
    </comment>
    <comment ref="BD87" authorId="0" shapeId="0" xr:uid="{00000000-0006-0000-0000-0000AE000000}">
      <text>
        <r>
          <rPr>
            <sz val="9"/>
            <color indexed="81"/>
            <rFont val="Tahoma"/>
            <family val="2"/>
          </rPr>
          <t xml:space="preserve">
SEGUN RESOLUCION PRESUPUESTARIA 4051 DEL 28/07/2020 SE DISMINUYE 8815,66666
MODIFICACION SEGÚN RESOLUCION INSTITUCIONAL 7359 DE 04/12/2020 SE DISMINUYE 6087</t>
        </r>
      </text>
    </comment>
    <comment ref="Z89" authorId="0" shapeId="0" xr:uid="{00000000-0006-0000-0000-0000AF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3731,19</t>
        </r>
      </text>
    </comment>
    <comment ref="Z90" authorId="1" shapeId="0" xr:uid="{00000000-0006-0000-0000-0000B0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1180,40 distribuidos para los 6 meses restantes
SEGUN RESOLUCION INTER 8119 DEL 25/12/2020 SE DISMINUIYE 2065,41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90" authorId="1" shapeId="0" xr:uid="{00000000-0006-0000-0000-0000B1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0" authorId="1" shapeId="0" xr:uid="{00000000-0006-0000-0000-0000B2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0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90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90" authorId="1" shapeId="0" xr:uid="{00000000-0006-0000-0000-0000B5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90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incrementa 196,7333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93" authorId="1" shapeId="0" xr:uid="{00000000-0006-0000-0000-0000B7000000}">
      <text>
        <r>
          <rPr>
            <sz val="9"/>
            <color indexed="81"/>
            <rFont val="Tahoma"/>
            <family val="2"/>
          </rPr>
          <t xml:space="preserve">
Mediante Resolucion Institucional MDG-BOL------ de -- de julio 2020 se disminuye 8386,78 distribuido para los 6 meses restantes
RESOLUCION PRESUPUESTARIA 4051 DEL 28/07/2020 SE DISMINUYE 1085
MODIFICACION SEGÚN RESOLUCION INSTITUCIONAL 7359 DE 04/12/2020 SE DISMINUYE 1600
SEGUN RESOLUCION INTER 8119 DEL 25/12/2020 SE DISMINUIYE 5,80
</t>
        </r>
      </text>
    </comment>
    <comment ref="AT93" authorId="1" shapeId="0" xr:uid="{00000000-0006-0000-0000-0000B8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
</t>
        </r>
      </text>
    </comment>
    <comment ref="AV93" authorId="1" shapeId="0" xr:uid="{00000000-0006-0000-0000-0000B9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AX93" authorId="1" shapeId="0" xr:uid="{00000000-0006-0000-0000-0000BA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AZ93" authorId="1" shapeId="0" xr:uid="{00000000-0006-0000-0000-0000BB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BB93" authorId="1" shapeId="0" xr:uid="{00000000-0006-0000-0000-0000BC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</t>
        </r>
      </text>
    </comment>
    <comment ref="BD93" authorId="1" shapeId="0" xr:uid="{00000000-0006-0000-0000-0000BD000000}">
      <text>
        <r>
          <rPr>
            <b/>
            <sz val="9"/>
            <color indexed="81"/>
            <rFont val="Tahoma"/>
            <family val="2"/>
          </rPr>
          <t>Mediante Resolucion Institucional MDG-BOL------ de -- de julio 2020 se disminuye 1397,796</t>
        </r>
        <r>
          <rPr>
            <sz val="9"/>
            <color indexed="81"/>
            <rFont val="Tahoma"/>
            <family val="2"/>
          </rPr>
          <t xml:space="preserve">
RESOLUCION PRESUPUESTARIA 4051 DEL 28/07/2020 SE DISMINUYE 180,83333
MODIFICACION SEGÚN RESOLUCION INSTITUCIONAL 7359 DE 04/12/2020 SE DISMINUYE  1600</t>
        </r>
      </text>
    </comment>
    <comment ref="Z94" authorId="0" shapeId="0" xr:uid="{00000000-0006-0000-0000-0000BE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4713</t>
        </r>
      </text>
    </comment>
    <comment ref="BD94" authorId="0" shapeId="0" xr:uid="{00000000-0006-0000-0000-0000BF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4713</t>
        </r>
      </text>
    </comment>
    <comment ref="Z96" authorId="0" shapeId="0" xr:uid="{00000000-0006-0000-0000-0000C0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1600
SEGUN RESOLUCION INTER 8119 DEL 25/12/2020 SE DISMINUIYE 725,39</t>
        </r>
      </text>
    </comment>
    <comment ref="BD96" authorId="0" shapeId="0" xr:uid="{00000000-0006-0000-0000-0000C1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1600</t>
        </r>
      </text>
    </comment>
    <comment ref="Z97" authorId="0" shapeId="0" xr:uid="{00000000-0006-0000-0000-0000C2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SEGUN RESOLUCION INTER 8119 DEL 25/12/2020 SE DISMINUIYE 1417,21</t>
        </r>
      </text>
    </comment>
    <comment ref="AT97" authorId="1" shapeId="0" xr:uid="{00000000-0006-0000-0000-0000C3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7" authorId="1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7" authorId="1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97" authorId="1" shapeId="0" xr:uid="{00000000-0006-0000-0000-0000C6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97" authorId="1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97" authorId="1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Mediante Resolucion Institucional MDG-BOL------ de -- de julio 2020 se incrementa 1201,06333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98" authorId="0" shapeId="0" xr:uid="{00000000-0006-0000-0000-0000C9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14000
SEGUN RESOLUCION INTER 8119 DEL 25/12/2020 SE DISMINUIYE 10.44</t>
        </r>
      </text>
    </comment>
    <comment ref="BD98" authorId="0" shapeId="0" xr:uid="{00000000-0006-0000-0000-0000CA000000}">
      <text>
        <r>
          <rPr>
            <sz val="9"/>
            <color indexed="81"/>
            <rFont val="Tahoma"/>
            <charset val="1"/>
          </rPr>
          <t xml:space="preserve">
MODIFICACION SEGÚN RESOLUCION INSTITUCIONAL 7359 DE 04/12/2020 SE DISMINUYE 1400</t>
        </r>
      </text>
    </comment>
    <comment ref="Z100" authorId="1" shapeId="0" xr:uid="{00000000-0006-0000-0000-0000CB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118,30
Mediante Resolucion Institucional MDG-BOL--- de - de julio 2020 se disminuye 105,70.
Mediante resolucion Institucional Intra del 12 Agosto 2020 se incrementa 808,00</t>
        </r>
      </text>
    </comment>
    <comment ref="AP100" authorId="1" shapeId="0" xr:uid="{00000000-0006-0000-0000-0000CC000000}">
      <text>
        <r>
          <rPr>
            <sz val="9"/>
            <color indexed="81"/>
            <rFont val="Tahoma"/>
            <family val="2"/>
          </rPr>
          <t xml:space="preserve">
Mediante Resolucion Institucional MDG-BOL-0809 de 8 de mayo 2020 se disminuye 118,30</t>
        </r>
      </text>
    </comment>
    <comment ref="AR100" authorId="0" shapeId="0" xr:uid="{00000000-0006-0000-0000-0000CD000000}">
      <text>
        <r>
          <rPr>
            <sz val="9"/>
            <color indexed="81"/>
            <rFont val="Tahoma"/>
            <family val="2"/>
          </rPr>
          <t xml:space="preserve">COMPRAS PUBLICAS.  19 JUNIO 2019
</t>
        </r>
      </text>
    </comment>
    <comment ref="AV100" authorId="0" shapeId="0" xr:uid="{00000000-0006-0000-0000-0000CE000000}">
      <text>
        <r>
          <rPr>
            <sz val="9"/>
            <color indexed="81"/>
            <rFont val="Tahoma"/>
            <family val="2"/>
          </rPr>
          <t xml:space="preserve">
Mediante resolucion institucional GBOL-2020-1184 del  07/08/2020 se disminuye 105,70</t>
        </r>
      </text>
    </comment>
    <comment ref="Z101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INCREMENTA 75
SEGUN RESOLUCION INTER 8119 DEL 25/12/2020 SE DISMINUIYE 0,12</t>
        </r>
      </text>
    </comment>
    <comment ref="BB101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SEGÚN  RESOLUCION INSTITUCIONAL MDG-GBOL 1806DE 10/11/2020,SE INCREMENTA 75.
COMPRAS PUBLICAS: 12 NOVIEMBRE 2020.</t>
        </r>
      </text>
    </comment>
    <comment ref="AV102" authorId="3" shapeId="0" xr:uid="{00000000-0006-0000-0000-0000D1000000}">
      <text>
        <r>
          <rPr>
            <sz val="9"/>
            <color indexed="81"/>
            <rFont val="Tahoma"/>
            <family val="2"/>
          </rPr>
          <t xml:space="preserve">COMPRAS PUBLICAS. 13 AGOSTO 2020
</t>
        </r>
      </text>
    </comment>
    <comment ref="Z103" authorId="3" shapeId="0" xr:uid="{00000000-0006-0000-0000-0000D2000000}">
      <text>
        <r>
          <rPr>
            <sz val="9"/>
            <color indexed="81"/>
            <rFont val="Tahoma"/>
            <family val="2"/>
          </rPr>
          <t xml:space="preserve">Mediante resolucion Institucional Intra del 12 Agosto 2020 se se disminuye 808,08
</t>
        </r>
      </text>
    </comment>
    <comment ref="AV104" authorId="3" shapeId="0" xr:uid="{00000000-0006-0000-0000-0000D3000000}">
      <text>
        <r>
          <rPr>
            <sz val="9"/>
            <color indexed="81"/>
            <rFont val="Tahoma"/>
            <family val="2"/>
          </rPr>
          <t xml:space="preserve">COMPRAS PUBLICAS. 13 AGOSTO 2020
</t>
        </r>
      </text>
    </comment>
    <comment ref="AV105" authorId="3" shapeId="0" xr:uid="{00000000-0006-0000-0000-0000D4000000}">
      <text>
        <r>
          <rPr>
            <sz val="9"/>
            <color indexed="81"/>
            <rFont val="Tahoma"/>
            <family val="2"/>
          </rPr>
          <t xml:space="preserve">COMPRAS PUBLICAS. 13 AGOSTO 2020.(2veces)
</t>
        </r>
      </text>
    </comment>
  </commentList>
</comments>
</file>

<file path=xl/sharedStrings.xml><?xml version="1.0" encoding="utf-8"?>
<sst xmlns="http://schemas.openxmlformats.org/spreadsheetml/2006/main" count="804" uniqueCount="416">
  <si>
    <t>Meta Anual</t>
  </si>
  <si>
    <t>Medio de Verificación</t>
  </si>
  <si>
    <t xml:space="preserve">Item </t>
  </si>
  <si>
    <t>Descripción del Item</t>
  </si>
  <si>
    <t>Indicadores de Actividades y/o de Gestión</t>
  </si>
  <si>
    <t>Ámbito Geográfico</t>
  </si>
  <si>
    <t>OBJETIVO ESTRATÉGICO INSTITUCIONAL:</t>
  </si>
  <si>
    <t>Actividades</t>
  </si>
  <si>
    <t>Cronograma de Ejecución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</si>
  <si>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</si>
  <si>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</si>
  <si>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</si>
  <si>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</si>
  <si>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</si>
  <si>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</si>
  <si>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</si>
  <si>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</si>
  <si>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</si>
  <si>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</si>
  <si>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</si>
  <si>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</si>
  <si>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Unidad Responsable</t>
  </si>
  <si>
    <t>Asignado</t>
  </si>
  <si>
    <t>Objetivo Estratégico, Específico u  Operativo de la Unidad (constante en GPR)</t>
  </si>
  <si>
    <t>Macro Actividad</t>
  </si>
  <si>
    <t>Código y Nombre de la Actividad</t>
  </si>
  <si>
    <t>Código y Nombre del Programa</t>
  </si>
  <si>
    <t>Programación Mensual de Metas</t>
  </si>
  <si>
    <t>DESPACHO</t>
  </si>
  <si>
    <t>Combustible-Lubricantes y Aditivos en General para Vehiculos terrestres.</t>
  </si>
  <si>
    <t>Viáticos y subsistencias</t>
  </si>
  <si>
    <t>530303</t>
  </si>
  <si>
    <t>12 Informes</t>
  </si>
  <si>
    <t>1
Evento</t>
  </si>
  <si>
    <t>530204</t>
  </si>
  <si>
    <t>Edición, Impresión, Reproducción, Publicaciones, Suscripciones, Fotocopiado, Traducción, Empastado, Enmarcación, Serigrafía, Fotografía, Carnetización, Filmación e Imágenes Satelitáles.</t>
  </si>
  <si>
    <t>Difusión e Información</t>
  </si>
  <si>
    <t>Difusión e información</t>
  </si>
  <si>
    <t>Publicidad y Propaganda en Medios de Comunicación Masiva</t>
  </si>
  <si>
    <t xml:space="preserve">12 gestiones de pagos </t>
  </si>
  <si>
    <t>Solicitud, informe, factruas</t>
  </si>
  <si>
    <t>530301</t>
  </si>
  <si>
    <t>Pasajes al Interior</t>
  </si>
  <si>
    <t>Edificios, Locales y Residencias, Parqueaderos, Casilleros Judiciales y Bancarios.</t>
  </si>
  <si>
    <t>Viáticos y Subsistencias</t>
  </si>
  <si>
    <t xml:space="preserve">1 gestiòn de pago </t>
  </si>
  <si>
    <t>Facturas, Transf. Ctas Indiv. Del Proveedor</t>
  </si>
  <si>
    <t xml:space="preserve"># de  instalaciones realizadas/ # instalaciones planificados </t>
  </si>
  <si>
    <t xml:space="preserve">12 gestiones de pago </t>
  </si>
  <si>
    <t xml:space="preserve">No. De pagos de mantenimientos realizados / total de pagos de mantenimientos planificados </t>
  </si>
  <si>
    <t>Facturas y planillas</t>
  </si>
  <si>
    <t>No. de pagos realizados/ No. de pagos  planificado</t>
  </si>
  <si>
    <t>Material de Oficina</t>
  </si>
  <si>
    <t>Provincial</t>
  </si>
  <si>
    <t>Servicio de capacitación</t>
  </si>
  <si>
    <t xml:space="preserve">Provincial </t>
  </si>
  <si>
    <t>530612</t>
  </si>
  <si>
    <t xml:space="preserve">Capacitaciòn a Servidores </t>
  </si>
  <si>
    <t>Facturas, Planillas</t>
  </si>
  <si>
    <t xml:space="preserve"> No. de pagos realizados/ No. de pagos  planificado</t>
  </si>
  <si>
    <t>Materiales de Aseo</t>
  </si>
  <si>
    <t>Facturas</t>
  </si>
  <si>
    <t>Repuestos y Accesorios</t>
  </si>
  <si>
    <t xml:space="preserve">Facturas/Planillas </t>
  </si>
  <si>
    <t>Mobiliario</t>
  </si>
  <si>
    <t xml:space="preserve"> No. de ejecuciòn  realizados/ No. de ejecuciones  planificadas</t>
  </si>
  <si>
    <t xml:space="preserve">Pedido. </t>
  </si>
  <si>
    <t>Factura, contratos de arrendamiento</t>
  </si>
  <si>
    <t>No.de pagos de arriendos realizados/No. pagos de arriendo planificados</t>
  </si>
  <si>
    <t>1 gestion de  pago</t>
  </si>
  <si>
    <t>Seguros</t>
  </si>
  <si>
    <t>Maquinarias y Equipos</t>
  </si>
  <si>
    <t>N° de movilizaciones realizadas/planificadas</t>
  </si>
  <si>
    <t>Equipos sistemas y paquetes informáticos</t>
  </si>
  <si>
    <t>12 
pagos</t>
  </si>
  <si>
    <t>Roles de pago</t>
  </si>
  <si>
    <t>No. de pagos realizados/ No. de pagos planificados</t>
  </si>
  <si>
    <t>Remuneraciones Unificadas</t>
  </si>
  <si>
    <t>Salarios Unificados</t>
  </si>
  <si>
    <t>Décimo Tercer Sueldo</t>
  </si>
  <si>
    <t>Décimo Cuarto Sueldo</t>
  </si>
  <si>
    <t>Honorarios</t>
  </si>
  <si>
    <t>Horas Extraordinarias y Suplementarias</t>
  </si>
  <si>
    <t>Servicios Personales por Contrato</t>
  </si>
  <si>
    <t>Subrogación</t>
  </si>
  <si>
    <t>Encargos</t>
  </si>
  <si>
    <t>Aporte Patronal</t>
  </si>
  <si>
    <t>Fondo de Reserva</t>
  </si>
  <si>
    <t xml:space="preserve">Informes Tecnicos </t>
  </si>
  <si>
    <t>Mantenimientos realizados/mantenimientos planificados</t>
  </si>
  <si>
    <t xml:space="preserve">12
pagos </t>
  </si>
  <si>
    <t>facturas, informes</t>
  </si>
  <si>
    <t>No. de pagos realizados / No de pagos planificados</t>
  </si>
  <si>
    <t>530101</t>
  </si>
  <si>
    <t>Agua Potable</t>
  </si>
  <si>
    <t>530104</t>
  </si>
  <si>
    <t>Energía Electrica</t>
  </si>
  <si>
    <t>530105</t>
  </si>
  <si>
    <t>Telecomunicaciones</t>
  </si>
  <si>
    <t>530106</t>
  </si>
  <si>
    <t>Servicio de Correo</t>
  </si>
  <si>
    <t>Roles</t>
  </si>
  <si>
    <t>No de pagos realizados/No de pagos planificados</t>
  </si>
  <si>
    <t>570102</t>
  </si>
  <si>
    <t>Tasas Generales, Impuestos, Contribuciones, Permisos, Licencias y Patentes.</t>
  </si>
  <si>
    <t>570201</t>
  </si>
  <si>
    <t>4  informes</t>
  </si>
  <si>
    <t>Cronogramas, Informes</t>
  </si>
  <si>
    <t>No de Controles ejecutados/ No de controles planificados</t>
  </si>
  <si>
    <t>proformas, informes, facturas</t>
  </si>
  <si>
    <t>100%  adquisiciones de materiales</t>
  </si>
  <si>
    <t>No de solicitudes realizadas / No de solicitudes planificadas</t>
  </si>
  <si>
    <t>530811</t>
  </si>
  <si>
    <t>Insumos Bienes Materiales y Suministros para la Construcción eléctrico, Plomería, Carpintería, Señalización, Navegación y Contra Incendio</t>
  </si>
  <si>
    <t>12  Informes</t>
  </si>
  <si>
    <t>Intendencia</t>
  </si>
  <si>
    <t xml:space="preserve">4 Controles </t>
  </si>
  <si>
    <t xml:space="preserve">96
operativos </t>
  </si>
  <si>
    <t>96 Operativos</t>
  </si>
  <si>
    <t xml:space="preserve">12 Informes </t>
  </si>
  <si>
    <t>Mantenimiento y reparación de equipos y sistemas informáticos</t>
  </si>
  <si>
    <t>Actas/acuerdos, resoluciones, reg. Asistencia, convocatorias</t>
  </si>
  <si>
    <t>Convocatoria</t>
  </si>
  <si>
    <t>Factura</t>
  </si>
  <si>
    <t>Diseños, Pedidos</t>
  </si>
  <si>
    <t>Diseños, Perdidos</t>
  </si>
  <si>
    <t>Boletines, Informes</t>
  </si>
  <si>
    <t>Propuesta</t>
  </si>
  <si>
    <t>Oicios, facturas</t>
  </si>
  <si>
    <t># Reuniones Ejecutadas/# Programadas</t>
  </si>
  <si>
    <t># Ferias  Ejecutadas/# Programadas</t>
  </si>
  <si>
    <t># Informes Planificados/#  Informes Programados</t>
  </si>
  <si>
    <t xml:space="preserve">#Pagos Planificados/# Pagos ejecutados </t>
  </si>
  <si>
    <t>PRESUPUESTO ASIGNADO</t>
  </si>
  <si>
    <t>12 informes mensuales.</t>
  </si>
  <si>
    <t xml:space="preserve"> Compensacion por Vacaciones no Gozadas por Cesacion de Funciones </t>
  </si>
  <si>
    <t xml:space="preserve">48
operativos </t>
  </si>
  <si>
    <t xml:space="preserve">12 informes </t>
  </si>
  <si>
    <t>Informes , Oficios , Solicitudes</t>
  </si>
  <si>
    <t>No de gestiones realizadas/planificadas</t>
  </si>
  <si>
    <t xml:space="preserve">Guaranda, </t>
  </si>
  <si>
    <t>Visitar los cantones y parroquias con el objeto de informarse por si mismo el cumplimiento a leyes ,  decretos  y demàs disposiciones superiores; de la conducta de  los empleados,  de las quejas y de las representaciones que hagan con motivo de la utilidad pùblica.Mantener  Reuniones de Jefes y Tenientes Políticos</t>
  </si>
  <si>
    <t>12
informes</t>
  </si>
  <si>
    <t>Repuestos y Accesorios para Vehìculos Terrestres</t>
  </si>
  <si>
    <t xml:space="preserve">Elaborado por: </t>
  </si>
  <si>
    <t xml:space="preserve">Analista de Planificación </t>
  </si>
  <si>
    <t>Asistente de Planificación</t>
  </si>
  <si>
    <t>APROBADO.</t>
  </si>
  <si>
    <t>Recursos Fiscales Asignados</t>
  </si>
  <si>
    <t xml:space="preserve">Factura </t>
  </si>
  <si>
    <t>530228</t>
  </si>
  <si>
    <t xml:space="preserve">Servicios  de Provisión de Dispositivos Electrónicos y Certificación para Registro de Firmas Digitales </t>
  </si>
  <si>
    <t>Combustibles, lubricantes y Aditivis en general para vehículos terrestres</t>
  </si>
  <si>
    <t>531404</t>
  </si>
  <si>
    <t>Maquinarias y equipos</t>
  </si>
  <si>
    <t>531406</t>
  </si>
  <si>
    <t>Herramientas</t>
  </si>
  <si>
    <t>531407</t>
  </si>
  <si>
    <t>531411</t>
  </si>
  <si>
    <t>Partes y repuestos</t>
  </si>
  <si>
    <t xml:space="preserve">48 controles </t>
  </si>
  <si>
    <t xml:space="preserve">OBJETIVO PLAN NACIONAL DE DESARROLLO : TODA UNA VIDA </t>
  </si>
  <si>
    <t>PLAN OPERATIVO ANUAL. GOBERNACION DE LA PROVINCIA BOLIVAR</t>
  </si>
  <si>
    <t>Recursos Fiscales</t>
  </si>
  <si>
    <t>Total Anual</t>
  </si>
  <si>
    <t>T Asignado</t>
  </si>
  <si>
    <t xml:space="preserve">02
Reuniones  </t>
  </si>
  <si>
    <t>Promover la difusión de la cultura en todas sus áreas; supervigilar todo lo relativo a los ramos de
educación, asistencia, bienestar social, vivienda, sanidad y obras públicas; y poner en conocimiento
de  los  respectivos  ministros  las  irregularidades  y  deficiencias  que  observare,  así  como  fomentar  la
agricultura, la industria, el comercio y el turismo;</t>
  </si>
  <si>
    <t xml:space="preserve"> Cooperar  a  la  correcta  realización  de  las  elecciones  y  prestar  a  los  organismos  electorales  los
auxilios que le solicitaren</t>
  </si>
  <si>
    <t xml:space="preserve">3 cooperaciones </t>
  </si>
  <si>
    <t>Liderar,  fomentar,  gestionar  y  generar  la  convivencia  social  pacífica,  a  través  de  una  activa
participación  ciudadana  y  de  la  Policía  Nacional,  además  de  desarrollar  e  implementar  planes,
programas,  proyectos  y  acciones  para  la  identificación  y  sanción  de  delitos  y  contravenciones  en
coordinación con los diferentes actores en territorio</t>
  </si>
  <si>
    <t>Ejecutar  y  administrar  políticas,  planes,  programas,  proyectos  y  acciones  tendientes  al
mantenimiento y control ciudadano, en coordinación con otras instituciones del Estado</t>
  </si>
  <si>
    <t xml:space="preserve">4 gestiones </t>
  </si>
  <si>
    <t>1 Pagos</t>
  </si>
  <si>
    <t xml:space="preserve"> Provisión de Dispositivos Electrónicos</t>
  </si>
  <si>
    <t>Equipos- Sistemas y Paquetes Informaticos</t>
  </si>
  <si>
    <t>Maquinarias y Equipos (Bienes Muebles no Depreciables)</t>
  </si>
  <si>
    <t>Ing. Margoth Peña Guzmán</t>
  </si>
  <si>
    <t>Compras Pùblicas</t>
  </si>
  <si>
    <t xml:space="preserve">Tesorerìa </t>
  </si>
  <si>
    <t>Despacho/Compras Pùblicas</t>
  </si>
  <si>
    <t>Compras Pùblicas/TIC.</t>
  </si>
  <si>
    <t>Transportes</t>
  </si>
  <si>
    <t xml:space="preserve">Bienes </t>
  </si>
  <si>
    <t>Contabilidad</t>
  </si>
  <si>
    <t>Tic.</t>
  </si>
  <si>
    <t xml:space="preserve">Tic. </t>
  </si>
  <si>
    <t xml:space="preserve">Talento Humano </t>
  </si>
  <si>
    <t>Asignar, administrar y controlar los recursos econòmicos y financieros de la instituciòn, generando informaciòn veràz y oportuna para la toma de decisiones, conforme a la normativa vigente</t>
  </si>
  <si>
    <t xml:space="preserve">Administrar, gestionar y controlar el sistema integrado de talento humano y subsistemas, mediante la aplicaciòn de leyes, reglamentos, normas tècnicas, polìticas, mètodos y procedimientos establecidos por la autoridad competente. </t>
  </si>
  <si>
    <t xml:space="preserve">Aprobado por: </t>
  </si>
  <si>
    <t>RESPONSABLE DE LA INFORMACION</t>
  </si>
  <si>
    <t>Combustibles y Lubricantes
Gastos en combustibles, lubricantes y aditivos en general. Incluye consumo de gas.</t>
  </si>
  <si>
    <t>Edificios- Locales- Residencias y
Cableado Estructurado (Instalacion -
Mantenimiento y Reparacion)</t>
  </si>
  <si>
    <t>530402</t>
  </si>
  <si>
    <t>Vehiculos (Servicio para Mantenimiento y
Reparacion)</t>
  </si>
  <si>
    <t>PROPUESTO</t>
  </si>
  <si>
    <t>ASIGNADO</t>
  </si>
  <si>
    <t xml:space="preserve">COMPRAS PUBLICAS </t>
  </si>
  <si>
    <t>530803</t>
  </si>
  <si>
    <t>Incrementar y fortalece  las capacidades del Estado, en tèrminos de gobernanzas, transparencia y calidad de servicio para hacer frente a los riesgos  y amenazas que afecten la seguridad ciudadana</t>
  </si>
  <si>
    <t>Contabilidad/Compras Pùblicas</t>
  </si>
  <si>
    <t xml:space="preserve"> gestiones de pagos </t>
  </si>
  <si>
    <t xml:space="preserve">Incentivar una sociedad participativa, con un Estado cercano al servicio de la ciudadanìa. </t>
  </si>
  <si>
    <t xml:space="preserve"> gestión de pago</t>
  </si>
  <si>
    <t xml:space="preserve">gestiones de pago </t>
  </si>
  <si>
    <t>gestion de pago</t>
  </si>
  <si>
    <t xml:space="preserve"> gestion de pago</t>
  </si>
  <si>
    <t xml:space="preserve"> gestiones de pagos</t>
  </si>
  <si>
    <t xml:space="preserve"> Gestión  </t>
  </si>
  <si>
    <t xml:space="preserve">Unidad de Comunicación Social </t>
  </si>
  <si>
    <t xml:space="preserve">1 PLAN DE   CAPACITACION </t>
  </si>
  <si>
    <t>Asesorar y  coordinar la gestiòn de servicios de tecnologìas de la Informaciòn de la Entidad.</t>
  </si>
  <si>
    <t xml:space="preserve">12  informes </t>
  </si>
  <si>
    <t>DESPACHO/DEPENDENCIAS</t>
  </si>
  <si>
    <t xml:space="preserve">1 Plan , 1  ADQUISICION </t>
  </si>
  <si>
    <t>1 Plan y 1  pago</t>
  </si>
  <si>
    <t>1 Plan
1 pago</t>
  </si>
  <si>
    <t>Recursos Fiscales Anuales  devengados</t>
  </si>
  <si>
    <t>SALDO ACTUAL</t>
  </si>
  <si>
    <t>Devengados I Enero -Abril</t>
  </si>
  <si>
    <t>Devengado 2do mayo-Agosto</t>
  </si>
  <si>
    <t>Devengado 3er Septiembre - Diciembre</t>
  </si>
  <si>
    <t>Devengado</t>
  </si>
  <si>
    <t>Saldos</t>
  </si>
  <si>
    <t>% Ejecutado</t>
  </si>
  <si>
    <t>MODIFICACIONES</t>
  </si>
  <si>
    <t>SALDO ASIGNAR</t>
  </si>
  <si>
    <t>SALDOS</t>
  </si>
  <si>
    <t>RESUMEN</t>
  </si>
  <si>
    <t xml:space="preserve">RESUMEN </t>
  </si>
  <si>
    <t>GRUPO DE GASTO</t>
  </si>
  <si>
    <t>FUENTE</t>
  </si>
  <si>
    <t>SUBTOTAL</t>
  </si>
  <si>
    <t xml:space="preserve">GRUPO DE GASTO </t>
  </si>
  <si>
    <t>FUENTEOO1</t>
  </si>
  <si>
    <t>FUENTE 0002</t>
  </si>
  <si>
    <t>TOTAL PRESUPUESTO</t>
  </si>
  <si>
    <t>INCREMENTO</t>
  </si>
  <si>
    <t xml:space="preserve">DISMINUCION </t>
  </si>
  <si>
    <t>001</t>
  </si>
  <si>
    <t>002</t>
  </si>
  <si>
    <t>TOTAL :</t>
  </si>
  <si>
    <t xml:space="preserve">TOTAL </t>
  </si>
  <si>
    <t xml:space="preserve">PORCENTAJE DE EJECUCION: JUNIO </t>
  </si>
  <si>
    <t xml:space="preserve">Vehìculo </t>
  </si>
  <si>
    <t>CONCEPTO</t>
  </si>
  <si>
    <t xml:space="preserve">MONTO </t>
  </si>
  <si>
    <t xml:space="preserve">ACTIVIDAD </t>
  </si>
  <si>
    <t>NO. CUR.</t>
  </si>
  <si>
    <t xml:space="preserve">Fecha </t>
  </si>
  <si>
    <t>VEHICULO</t>
  </si>
  <si>
    <t>CONCEPTO DE PAGO</t>
  </si>
  <si>
    <t xml:space="preserve">NO. CUR. </t>
  </si>
  <si>
    <t>FECHA</t>
  </si>
  <si>
    <t>DETALLE DE COMBUSTIBLE</t>
  </si>
  <si>
    <t xml:space="preserve">GOBERNADOR DE LA PROVINCIA BOLIVAR, </t>
  </si>
  <si>
    <t>Ing. Silvia Carrillo</t>
  </si>
  <si>
    <t>1. Presidir reuniones del  Comitè de Operación Emegente.</t>
  </si>
  <si>
    <t>10. Realizar supervisiones/ visitas a Direcciones Provinciales y demás orgános de la Administración Públicas.    Coordinar con la Administración Pública Seccional.</t>
  </si>
  <si>
    <t>36.Coordinar  y cubrir  informaciòn de eventos de importancia local, provincial y nacional.</t>
  </si>
  <si>
    <t>NOTA: CUANDO SE MODIFICA NO SE REFORMULA LO ASIGNADO, SOLO INCREMENO O DISMINUYO EN ASIGNADO</t>
  </si>
  <si>
    <t>Código</t>
  </si>
  <si>
    <t>Unidad</t>
  </si>
  <si>
    <t>Ítem presupuestario</t>
  </si>
  <si>
    <t xml:space="preserve">Actividad </t>
  </si>
  <si>
    <t>Saldo Actual</t>
  </si>
  <si>
    <t>Aumento</t>
  </si>
  <si>
    <t>Disminución</t>
  </si>
  <si>
    <t>Saldo</t>
  </si>
  <si>
    <t>Expedir los instructivos e impartir las órdenes necesarias para proteger el medio ambiente en los casos de emergencia</t>
  </si>
  <si>
    <t>2. Visitar  lugares de afectaciòn y/o entrega de asistencia humanitaria</t>
  </si>
  <si>
    <t>3. Convocar a  reuniones del Comitè  Provincial de Seguridad</t>
  </si>
  <si>
    <t xml:space="preserve">4. Convocar, asistir y dar seguimiento a las Mesas Tècnicas de Seguridad  ( MT. Violencia intrafamiliar y Gènero, Violencia intrapersonal o comunitaria; Violencia criminal y abigeato) </t>
  </si>
  <si>
    <t xml:space="preserve">Cuidar  de  la  tranquilidad  y  orden  públicos,  exigiendo  para  ello  el  auxilio  de  la  Fuerza  Pública,
proteger la seguridad de las personas y de los bienes; prevenir los delitos y combatir la delincuencia
</t>
  </si>
  <si>
    <t>Prevenir, dentro de lo prescrito en la Constitución y leyes, los conflictos sociales en el territorio de
su competencia;</t>
  </si>
  <si>
    <t>5. Mantener diálogos, reuniones, conversatorios con sectores en conflicto social.</t>
  </si>
  <si>
    <t>Desarrollar Espacios de Gobernabilidad que faciliten la coordinaciòn de acciones en el contexto, local, provincial y nacional.</t>
  </si>
  <si>
    <t>6. Participar en Consejos Nacionales de Gobernadores</t>
  </si>
  <si>
    <t>7. Realizar Gabinetes Provinciales Ordinarios y/o Sociales/Gobierernos Autònomos Descentralizado</t>
  </si>
  <si>
    <t>8. Apoyar en la realización de eventos  presidenciales, ministeriales u otros de carácter oficial</t>
  </si>
  <si>
    <t>Supervisar la actividad de los Organos de la Administraciòn Pùblica Central e Institucional de la Provincia y servir como agente de coordinaciòn y cooperaciòn de estas con los entes y organos de la Administraciòn Pùblica Seccional.</t>
  </si>
  <si>
    <t>11. Verificar  el buen uso y  manejo de los bienes de dominio público y la conservación y reparación de los edificios destinados al funcionamiento de los establecimientos públicos;</t>
  </si>
  <si>
    <t>12.Desarrollar actividades oficiales  en cantones y parroquias para comprobar el cumplimiento de normativas legales, accionar de servidores públicos, y reuniones en el territorio con autoridades locales.</t>
  </si>
  <si>
    <t>13.Monitorear la ejecución de Proyectos, y    Reportar  alertas   a los ministerios y organimos  respectivos.</t>
  </si>
  <si>
    <t>14.Planificar, coordinar y ejecutar Rendición de cuentas de la Gobernación de Bolívar a la población urbana y rural de la provincia.</t>
  </si>
  <si>
    <t>15.Coordinar actividades  con los sectores desconcentrados y  descentralizados para el seguimiento y fortalecimiento de ejecuciòn de proyectos en el territorio.</t>
  </si>
  <si>
    <t xml:space="preserve">16.Coordinar reuniones; colaboración interinstitucional a través de jefaturas y tenencias políticas;  apoyo con la fuerza pública, desarrollo de mesas de seguridad antes, durante y después de procesos electorales . </t>
  </si>
  <si>
    <t xml:space="preserve">17. Realizar  Ferias de Seguridad Ciudadana/Brigadas Plan Toda una Vida </t>
  </si>
  <si>
    <t>18. Gestionar  la conformación de los Consejos de Seguridad en la provincia: cantón y parroquia s y dar seguimiento a los mismos.</t>
  </si>
  <si>
    <t>19.Gestionar la conformación de Asambleas comunitarias en territorio con Participantes Ciudadanos y dar seguimiento a los mismos.</t>
  </si>
  <si>
    <t>20.Gestionar la apropiación pacifica de espacios públicos en provincia, cantón y parroquia con la cooperación de autoridades locales y comunidad.</t>
  </si>
  <si>
    <t>21.Gestionar la realización de Diagnósticos Situacionales en materia de Seguridad Ciudadana</t>
  </si>
  <si>
    <t xml:space="preserve">2 Informes </t>
  </si>
  <si>
    <t xml:space="preserve">06  
Reuniones </t>
  </si>
  <si>
    <t>4 Informes</t>
  </si>
  <si>
    <t>4
Gabinetes</t>
  </si>
  <si>
    <t xml:space="preserve">4Informes </t>
  </si>
  <si>
    <t>2 Imformes</t>
  </si>
  <si>
    <t>4
Informes</t>
  </si>
  <si>
    <t xml:space="preserve">Analista de Intendencia /Jefes y Tenientes Politicos </t>
  </si>
  <si>
    <t>12  Asambleas Comunitarias</t>
  </si>
  <si>
    <t>04
espacio público apropiado por Subcircuitos</t>
  </si>
  <si>
    <t>12 Diagnòsticos</t>
  </si>
  <si>
    <t>22.Coordinar Operativos de Control a empresas de seguridad privada</t>
  </si>
  <si>
    <t>23.Planificar, coordinar y ejecutar controles con otras instituciones y/o autoridades</t>
  </si>
  <si>
    <t>24.Realizar monitoreo por parte del intendente a los comisarios en cumplimiento de operativos</t>
  </si>
  <si>
    <t xml:space="preserve">25.Coordinar Operativos de  Controles migratorios </t>
  </si>
  <si>
    <t>26.Planificar, coordinar y ejecutar operativos de control de  libadores en espacios pùblicos (fin de semana)</t>
  </si>
  <si>
    <t>27.Planificar, coordinar y ejecutar controles de Rifas y sorteos en el contexto provincial</t>
  </si>
  <si>
    <t xml:space="preserve">28.Planificar, coordinar y ejecutar controles de  actividades ejercidas por hechiceros, mago, adivinos y centros esotéricos en sujeción a la Constitución y a la Ley) </t>
  </si>
  <si>
    <t xml:space="preserve">29.Organizar y Ejecutar Operativos de  Control en centros de tolerancia. (documentos personales a personas que laboran y usuarios). </t>
  </si>
  <si>
    <t>30.Planificar, coordinar y ejecutar operativos de control de precios, calidad y cantidad de los productos que por ley le corresponda.</t>
  </si>
  <si>
    <t xml:space="preserve">31.Aprobar  los  permisos anuales de funcionamiento a los establecimientos contemplados en el Decreto Ejecutivo No.623y ejercer su control de conformidad con la Ley. </t>
  </si>
  <si>
    <t>32.Apoyar a las autoridades judiciales y fiscales en las tareas que administran justicia.</t>
  </si>
  <si>
    <t>33.Controlar y emitir permisos de autorización para
marchas, movilizaciones y otros” según el Acuerdo Ministerial 0069</t>
  </si>
  <si>
    <t>34.Controlar y emitir permisos de autorizaciòn  de espectàculos pùblicos /(baliles, matine, show artìstico, juegos mecànicos, etc)</t>
  </si>
  <si>
    <t xml:space="preserve">6 Informes </t>
  </si>
  <si>
    <t xml:space="preserve">9 Informes </t>
  </si>
  <si>
    <t xml:space="preserve">35.Gestionar los pagos de servicio de edición impresión y reproducción de documentos de la Gobernación </t>
  </si>
  <si>
    <t>37.Gestionar Publicidad y propaganda através de medios de comunicación masiva (prensa, radio, televisión, internet), controlados directamente a través de las agencias.</t>
  </si>
  <si>
    <t>38.Coordinar  y cubrir  informaciòn de eventos de importancia local, provincial y nacional.</t>
  </si>
  <si>
    <t xml:space="preserve"> 39.Gestiones  de funcionarios de la Gobernaciòn y Dependencias en cumplimiento de actividades inherentes a sus funciones. </t>
  </si>
  <si>
    <t>40.Gestinar la  Instalaciòn -Mantenimiento y Reparaciòn de Edificios, Locales y Residencias de Propiedad de Entidades Pùblicas.</t>
  </si>
  <si>
    <t xml:space="preserve">42,Gestionar el pago por arriendos de edificios locales y residencias </t>
  </si>
  <si>
    <t>43.Gestionar  el pago de seguros de los vehículos de  la Gobernación.</t>
  </si>
  <si>
    <t>44.Realizar  procesos de  adquisiciones de materiales de construcción,electricos, plomeria y carpitenria</t>
  </si>
  <si>
    <t xml:space="preserve">45.Gestionar  el pago de servicios de Dispositivos Electrònicos y Certificación para Registro de Firmas Digitales </t>
  </si>
  <si>
    <t xml:space="preserve">46.Gestionar el servicio de  Mantenimiento y Reparaciòn   de Vehìculos  </t>
  </si>
  <si>
    <t xml:space="preserve">47.Coordinar la Adquisiciòn de  Repuestos y Accesorios para Vehìculos Terrestres </t>
  </si>
  <si>
    <t>48.Solicitar la adquisciòn de suministros, materiales y accesorios de oficina, en base al stock.</t>
  </si>
  <si>
    <t xml:space="preserve"> 49.Solicitar la adquisiciòn de suministros y materiales de aseo y limpieza para la Gobernaciòn y sus Dependencias en base al stock.</t>
  </si>
  <si>
    <t>50.Elaborar y Ejecutar el plan de Instalacion- Mantenimiento y Reparaciones de Mobiliario</t>
  </si>
  <si>
    <t xml:space="preserve">51.Elaborar y Ejecutar un plan de  adquisición de mobiliario para la Gobernación </t>
  </si>
  <si>
    <t xml:space="preserve">52.Elaborar y Ejecutar el Plan de  adquisición de equipos para la Gobernación </t>
  </si>
  <si>
    <t>53.Gestionar los pagos de servicios basicos de la Gobernacion y sus dependencias (agua potable, luz electrica, telecomunicaciones, correos, fletes y maniobras))</t>
  </si>
  <si>
    <t>54.Realizar pagos por concepto de gastos para cubrir el costo de un determinado servicio de carácter público; impuestos
prediales; peaje; rodaje; revisión vehicular; matrículas de vehículos; permisos de
funcionamiento; licencias; patentes; registros sanitarios y toxológicos; sustancias
estupefacientes y psicotrópicas.</t>
  </si>
  <si>
    <t>55.Realizar el pago por concepto de Seguros  Propiedad, Planta y Equipo</t>
  </si>
  <si>
    <t xml:space="preserve">56.Elaborar y Ejecutar un Plan de  mantenimiento preventivo y correctivo de los equipos informaticos software y Hardware </t>
  </si>
  <si>
    <t>57.Elaborar un  plan de  adquisición de equipos informáticos</t>
  </si>
  <si>
    <t>58.Gestionar  la compra de Repuestos y Accesorios para mantenimiento y reparación de equipos informáticos.</t>
  </si>
  <si>
    <t xml:space="preserve">59.Gestionar la compra de un tester y flexómetro para servicio de la Unidad TIC. </t>
  </si>
  <si>
    <t>60.Planificar  capacitación a los funcionarios de la gobernación</t>
  </si>
  <si>
    <t xml:space="preserve">61.Organizar Capacitaciòn a Servidores Pùblicos </t>
  </si>
  <si>
    <t>62.Realizar el pago de remuneraciones mensuales unificadas, decimo tercero, decimo cuarto sueldo, aporte patronal y fondos de reserva de  de los servidores pertenecientes a la Gobernación</t>
  </si>
  <si>
    <t>63.Controlar  la  Asistencia y calidad de Atencion al público del Personal de la Gobernacion y Dependencias</t>
  </si>
  <si>
    <t>64.Gestionar  Uniformes para el personal de las Unidades y Dependencias de la Gobernación de Bolívar.</t>
  </si>
  <si>
    <t xml:space="preserve">Informes </t>
  </si>
  <si>
    <t>12  pagos</t>
  </si>
  <si>
    <t>Informes, actas /entregas , boletines de prensa</t>
  </si>
  <si>
    <t># visitas  Ejecutadas/# Programadas</t>
  </si>
  <si>
    <t># Convocatorias   Ejecutadas/# Programadas</t>
  </si>
  <si>
    <t xml:space="preserve">Informes, </t>
  </si>
  <si>
    <t># Verificaciones  Ejecutadas/# Programadas</t>
  </si>
  <si>
    <t># Coordinaciones ejecutadas/# Programadas</t>
  </si>
  <si>
    <t>Informes</t>
  </si>
  <si>
    <t># Coordinaciones  Ejecutadas/# Programadas</t>
  </si>
  <si>
    <t># gestiones  Ejecutadas/# Programadas</t>
  </si>
  <si>
    <t xml:space="preserve">Edificios-(Instalacion -
Mantenimiento y Reparacion) </t>
  </si>
  <si>
    <t>Vestuario y Lencería, prendas de protección y accesorios para uniformes militares, policiales y carpas</t>
  </si>
  <si>
    <t>6
Controles</t>
  </si>
  <si>
    <t>11 informes mensuales.</t>
  </si>
  <si>
    <t xml:space="preserve">5 gestiones de pago </t>
  </si>
  <si>
    <t>PROFORMA PRESUPUESTARIA 2020</t>
  </si>
  <si>
    <t>530802</t>
  </si>
  <si>
    <t xml:space="preserve">Ing. Juan Carlos Camacho Dàvila </t>
  </si>
  <si>
    <t xml:space="preserve"> </t>
  </si>
  <si>
    <t>Implementar la Política Pública de Seguridad Ciudadana en Territorio. (Programa 55-Gobernabilidad,Actividad 002-)</t>
  </si>
  <si>
    <t>9. Practicar las diligencias delegadas por  la Presidencia, Ministerio  de Gobierno, y demàs autoridades superiores   dentro y fuera de la provincia.</t>
  </si>
  <si>
    <t xml:space="preserve">Único POA. </t>
  </si>
  <si>
    <t xml:space="preserve">DETALLE DE  MOVIMIENTO PRESUPUESTARIO EN EL MES DE  </t>
  </si>
  <si>
    <t>PORCENTAJE DE CUMPLIMIENTO: ENERO 2020</t>
  </si>
  <si>
    <t>Implementar la Política Pública de Seguridad Ciudadana en Territorio.</t>
  </si>
  <si>
    <t>Pago a favor de MEZA AROCA NELSON CAMILO,por la dotación de combustible a los vehículos de la gobernación del mes de enero de 2020</t>
  </si>
  <si>
    <t>COMBUSTIBLES Y LUBRICANTES</t>
  </si>
  <si>
    <t xml:space="preserve">PORCENTAJE DE EJECUCION: MARZO </t>
  </si>
  <si>
    <t xml:space="preserve">PORCENTAJE DE EJECUCION: ABRIL </t>
  </si>
  <si>
    <t>41.Gestionar la adquisiciòn de Repuestos y Accesorios. Egresos por la adquisición de repuestos y accesorios necesarios para el funcionamiento de los bienes.</t>
  </si>
  <si>
    <t>PORCENTAJE DE EJECUCION: MAYO</t>
  </si>
  <si>
    <t>PORCENTAJE DE CUMPLIMIENTO: FEBRERO 2020</t>
  </si>
  <si>
    <t xml:space="preserve">PORCENTAJE DE EJECUCION: JULIO </t>
  </si>
  <si>
    <t>Estructura programática Programa001 -Actividad 005 GESTIONAR LA  EMERGENCIA SANITARIA NACIONAL DE LA PANDEMIA DEL COVID 19</t>
  </si>
  <si>
    <t>001.-Gestionar   la   adquisición de   materiales   de   seguridad para  la  emergencia  sanitaria del  COVID  19: Maquinarias  y Equipos    (No    Depreciables)                                                                                                  BANDEJAS DE DESINFECCION</t>
  </si>
  <si>
    <t xml:space="preserve">pedido y facturas </t>
  </si>
  <si>
    <t>Maquinarias y Equipos (No Depreciables</t>
  </si>
  <si>
    <t>002.Gestionar   la   adquisición de   materiales   de   seguridad para  la  emergencia  sanitaria del   COVID   19: Dispositivos Médicos    de    Uso    General                                                                   MASCARILLA QUIRÚRGICA,TIRAS, TAMAÑO ESTÁNDAR</t>
  </si>
  <si>
    <t>Dispositivos Médicos de Uso General</t>
  </si>
  <si>
    <t>003.Gestionar la adquisición de materiales de seguridad para la emergencia sanitaria del COVID 19:Medicinas y Productos Farmacéuticos                                                                                     (ALCOHOL ETÍLICO LÍQUIDO CUTÁNEO)</t>
  </si>
  <si>
    <t>Medicinas y Productos Farmacéuticos</t>
  </si>
  <si>
    <t>004.Gestionar la adquisición de materiales de seguridad para la emergencia sanitaria del COVID 19: MATERIALES DE ASEO  GEL ANTIBACTERIAL, jabón antiseptico.</t>
  </si>
  <si>
    <t>Materiales de Aseo (Gel Antibacterial, Jabón antiséptico )</t>
  </si>
  <si>
    <t>PORCENTAJE DE EJECUCION AGOSTO 2020</t>
  </si>
  <si>
    <t>PORCENTAJE DE EJECUCION SEPTIEMBRE 2020</t>
  </si>
  <si>
    <t>PORCENTAJE DE EJECUCION OCTUBRE 2020</t>
  </si>
  <si>
    <t xml:space="preserve">Asesoria Juridica </t>
  </si>
  <si>
    <t>65. Gestionar pago de  Costas Judiciales, Trámites Notariales, Legalización de Documentos y Arreglos Extrajudiciales</t>
  </si>
  <si>
    <t xml:space="preserve">Gestión </t>
  </si>
  <si>
    <t>Pedido, factura, escritura</t>
  </si>
  <si>
    <t>Notariales Legalización
de Documentos y Arreglos
Extrajudiciales</t>
  </si>
  <si>
    <t>Jeep SZ,color blanco, de placas PEI1347, Conducido porel señor Milton Reinoso</t>
  </si>
  <si>
    <t>Trasladar al señor Milton Reinoso para que conjuntamente con el señor mecanico haga un recorrido y constate que todos los arreglos realizados al vehìculo se encuentren en buen estado</t>
  </si>
  <si>
    <t>Trasladar al señor Milton Reinoso para que conjuntamente con la señora Vicepresidenta del Ecuador realice un recorrido por diferentes sectores,parroquias y comunidades del Cantòn Guaranda</t>
  </si>
  <si>
    <t>Gran Vitara Chevrolet, color Rojo Placas BEC 0011.Conducido por el Sr. Edgar Yallico</t>
  </si>
  <si>
    <t>Trasladar al ABG. ALEXANDER GARCIA ,INTENDENTE GENERAL DE POLICIA DE BOLIVAR,a diferentes lugares del canton Guarandaa realizar multiples inspecciones en establecimientos de previos a la obtención del permiso de funcionamiento</t>
  </si>
  <si>
    <t xml:space="preserve">Trasladar al lic. Angel Cepeda ASISTENTE DE TECNOLOGIAS DE LA INFORMACIÒN Y COMUNICACIÒN, a la parroquia Simiatug  cumplir con el mantenimiento preventivo y correctivo de hardware y software del equipo informàtico de  dicha dependencia . </t>
  </si>
  <si>
    <t xml:space="preserve">Trasladar al lic. Angel Cepeda ASISTENTE DE TECNOLOGIAS DE LA INFORMACIÒN Y COMUNICACIÒN, al Cantòn Caluma  Tenencia polìtica de Bilovàn cumplir con el mantenimiento preventivo y correctivo de hardware y software del equipo informàtico de  dichas dependencias . </t>
  </si>
  <si>
    <t>Trasladar al ABG. ALEXANDER GARCIA ,INTENDENTE GENERAL DE POLICIA DE BOLIVAR, al Cantòn Chillanes al recinto Santa Rosa de Agua Clara a jecutar operativos extraordinarios en la circulaciòn de vehìculos con minerales que son extraidos de manera ilegal.</t>
  </si>
  <si>
    <t>Trasladar al ABG. ALEXANDER GARCIA ,INTENDENTE GENERAL DE POLICIA DE BOLIVAR, al Cantòn Chillanes al recinto Santa Rosa de Agua Clara en coordinaciòn con la Agencia Distrital de Hidrocarguros   a jecutar operativos extraordinarios en la circulaciòn de vehìculos con minerales que son extraidos de manera ilegal.</t>
  </si>
  <si>
    <t>Trasladar al ABG. ALEXANDER GARCIA ,INTENDENTE GENERAL DE POLICIA DE BOLIVAR, a la Parroquia de san Luis de Pambil para impartir una Capacitaciòn y difusiòn del Acuerdo Ministerial 0069 por invitaciòn del teniente Polìtico de dicha parroquia.</t>
  </si>
  <si>
    <t xml:space="preserve">Trasladar al Ing. Juan Carlos Camacho,Gobernador de la provincia Bolívar a la parroquia Simiatug a las Brigadas TODA UNA VIDA </t>
  </si>
  <si>
    <t>Trasladar al Ing. Juan Carlos Camacho,Gobernador de la provincia Bolívar al Cantòn Echeandìa para mantener un conversatorio con la ciudadania referente a los difrentes confictos.</t>
  </si>
  <si>
    <t>Nota: Fòrmula:  (3er casillero)Cuando disminuimos signo negativo y la fòrmula con positivo.  Si se incrementa fòrmula en negativo.</t>
  </si>
  <si>
    <t>PORCENTAJE DE EJECUCION NOVIEMBRE 2020</t>
  </si>
  <si>
    <t>PORCENTAJE DE EJECUCION DICIEMBRE 2020</t>
  </si>
  <si>
    <t>RESUMEN DICIEMBRE</t>
  </si>
  <si>
    <t>SALDO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</si>
</sst>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#,##0.00_);_(\(#,##0.00\);_(&quot;-&quot;??_);_(@_)"/>
    <numFmt numFmtId="169" formatCode="#,##0.00_ ;\-#,##0.00\ "/>
    <numFmt numFmtId="170" formatCode="[$$-540A]#,##0.00"/>
    <numFmt numFmtId="171" formatCode="#,##0.00;[Red]#,##0.00"/>
    <numFmt numFmtId="172" formatCode="#,##0.0000"/>
  </numFmts>
  <fonts count="6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 Unicode MS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sz val="9"/>
      <color indexed="8"/>
      <name val="Arial Unicode MS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mbria"/>
      <family val="1"/>
      <scheme val="major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 Unicode MS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26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 Unicode MS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Arial Unicode MS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rgb="FF000000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b/>
      <sz val="10"/>
      <color rgb="FF000000"/>
      <name val="Calibri"/>
      <family val="2"/>
    </font>
    <font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12"/>
      <color rgb="FF00B0F0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7"/>
      <color rgb="FFFFFF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 style="thick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ck">
        <color theme="3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 style="thick">
        <color theme="3" tint="-0.249977111117893"/>
      </bottom>
      <diagonal/>
    </border>
    <border>
      <left style="thick">
        <color theme="3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indexed="64"/>
      </top>
      <bottom/>
      <diagonal/>
    </border>
    <border>
      <left style="medium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3" tint="-0.249977111117893"/>
      </left>
      <right/>
      <top/>
      <bottom style="medium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 style="thick">
        <color theme="3" tint="-0.249977111117893"/>
      </left>
      <right/>
      <top/>
      <bottom style="thin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/>
      <diagonal/>
    </border>
    <border>
      <left/>
      <right style="thick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indexed="64"/>
      </right>
      <top/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 style="thin">
        <color indexed="64"/>
      </bottom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3">
    <xf numFmtId="0" fontId="0" fillId="0" borderId="0" xfId="0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166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justify" vertical="center"/>
    </xf>
    <xf numFmtId="168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166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justify" vertical="center"/>
    </xf>
    <xf numFmtId="168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 indent="1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 wrapText="1"/>
    </xf>
    <xf numFmtId="166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justify" vertical="center"/>
    </xf>
    <xf numFmtId="0" fontId="24" fillId="2" borderId="0" xfId="0" applyFont="1" applyFill="1" applyBorder="1" applyAlignment="1">
      <alignment vertical="center" wrapText="1"/>
    </xf>
    <xf numFmtId="166" fontId="24" fillId="2" borderId="0" xfId="0" applyNumberFormat="1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5" fillId="0" borderId="4" xfId="19" applyFont="1" applyFill="1" applyBorder="1" applyAlignment="1">
      <alignment horizontal="justify" vertical="center" wrapText="1"/>
    </xf>
    <xf numFmtId="0" fontId="25" fillId="0" borderId="4" xfId="19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/>
    </xf>
    <xf numFmtId="0" fontId="22" fillId="2" borderId="0" xfId="0" applyFont="1" applyFill="1"/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justify" vertical="center"/>
    </xf>
    <xf numFmtId="0" fontId="28" fillId="2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center" wrapText="1"/>
    </xf>
    <xf numFmtId="14" fontId="22" fillId="0" borderId="0" xfId="0" applyNumberFormat="1" applyFont="1"/>
    <xf numFmtId="2" fontId="5" fillId="0" borderId="4" xfId="18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vertical="center" wrapText="1"/>
    </xf>
    <xf numFmtId="0" fontId="5" fillId="0" borderId="4" xfId="18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/>
    </xf>
    <xf numFmtId="168" fontId="23" fillId="0" borderId="0" xfId="0" applyNumberFormat="1" applyFont="1" applyAlignment="1">
      <alignment horizontal="center" wrapText="1"/>
    </xf>
    <xf numFmtId="167" fontId="23" fillId="0" borderId="0" xfId="11" applyFont="1" applyAlignment="1">
      <alignment horizontal="center" vertical="center"/>
    </xf>
    <xf numFmtId="49" fontId="29" fillId="3" borderId="4" xfId="0" applyNumberFormat="1" applyFont="1" applyFill="1" applyBorder="1" applyAlignment="1">
      <alignment horizontal="center" vertical="center" wrapText="1"/>
    </xf>
    <xf numFmtId="0" fontId="23" fillId="0" borderId="0" xfId="0" applyFont="1"/>
    <xf numFmtId="9" fontId="23" fillId="0" borderId="0" xfId="20" applyFont="1" applyAlignment="1">
      <alignment horizontal="center" vertical="center"/>
    </xf>
    <xf numFmtId="9" fontId="22" fillId="0" borderId="0" xfId="20" applyFont="1" applyAlignment="1">
      <alignment horizontal="center" vertical="center"/>
    </xf>
    <xf numFmtId="9" fontId="22" fillId="0" borderId="0" xfId="20" applyFont="1" applyAlignment="1">
      <alignment horizontal="left" vertical="center"/>
    </xf>
    <xf numFmtId="9" fontId="22" fillId="0" borderId="2" xfId="20" applyFont="1" applyBorder="1" applyAlignment="1">
      <alignment horizontal="left" vertical="center"/>
    </xf>
    <xf numFmtId="9" fontId="22" fillId="0" borderId="0" xfId="20" applyFont="1" applyAlignment="1">
      <alignment horizontal="left" vertical="top"/>
    </xf>
    <xf numFmtId="9" fontId="22" fillId="0" borderId="0" xfId="20" applyFont="1"/>
    <xf numFmtId="9" fontId="28" fillId="2" borderId="0" xfId="20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justify" vertical="center"/>
    </xf>
    <xf numFmtId="49" fontId="29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30" fillId="0" borderId="0" xfId="0" applyFont="1"/>
    <xf numFmtId="0" fontId="30" fillId="2" borderId="0" xfId="0" applyFont="1" applyFill="1"/>
    <xf numFmtId="0" fontId="30" fillId="2" borderId="0" xfId="0" applyFont="1" applyFill="1" applyBorder="1"/>
    <xf numFmtId="166" fontId="25" fillId="0" borderId="1" xfId="20" applyNumberFormat="1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/>
    </xf>
    <xf numFmtId="168" fontId="24" fillId="2" borderId="0" xfId="0" applyNumberFormat="1" applyFont="1" applyFill="1" applyBorder="1" applyAlignment="1">
      <alignment vertical="center" wrapText="1"/>
    </xf>
    <xf numFmtId="0" fontId="31" fillId="0" borderId="25" xfId="0" applyFont="1" applyFill="1" applyBorder="1" applyAlignment="1">
      <alignment horizontal="left" vertical="center" wrapText="1"/>
    </xf>
    <xf numFmtId="1" fontId="8" fillId="0" borderId="26" xfId="18" applyNumberFormat="1" applyFont="1" applyFill="1" applyBorder="1" applyAlignment="1">
      <alignment horizontal="center" vertical="center" wrapText="1"/>
    </xf>
    <xf numFmtId="2" fontId="32" fillId="0" borderId="26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4" fontId="33" fillId="2" borderId="27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top" wrapText="1"/>
    </xf>
    <xf numFmtId="0" fontId="22" fillId="2" borderId="0" xfId="0" applyFont="1" applyFill="1" applyAlignment="1">
      <alignment wrapText="1"/>
    </xf>
    <xf numFmtId="3" fontId="23" fillId="0" borderId="0" xfId="0" applyNumberFormat="1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166" fontId="22" fillId="0" borderId="0" xfId="0" applyNumberFormat="1" applyFont="1" applyAlignment="1">
      <alignment horizontal="left" vertical="center" wrapText="1"/>
    </xf>
    <xf numFmtId="3" fontId="22" fillId="0" borderId="0" xfId="0" applyNumberFormat="1" applyFont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168" fontId="35" fillId="0" borderId="0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5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justify" vertical="center"/>
    </xf>
    <xf numFmtId="0" fontId="12" fillId="0" borderId="0" xfId="0" applyFont="1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169" fontId="12" fillId="2" borderId="0" xfId="0" applyNumberFormat="1" applyFont="1" applyFill="1" applyBorder="1"/>
    <xf numFmtId="169" fontId="12" fillId="2" borderId="0" xfId="0" applyNumberFormat="1" applyFont="1" applyFill="1" applyBorder="1" applyAlignment="1">
      <alignment vertical="center"/>
    </xf>
    <xf numFmtId="0" fontId="12" fillId="2" borderId="5" xfId="0" applyFont="1" applyFill="1" applyBorder="1"/>
    <xf numFmtId="0" fontId="12" fillId="2" borderId="0" xfId="0" applyFont="1" applyFill="1" applyBorder="1" applyAlignment="1"/>
    <xf numFmtId="0" fontId="12" fillId="6" borderId="0" xfId="0" applyFont="1" applyFill="1" applyBorder="1" applyAlignment="1"/>
    <xf numFmtId="0" fontId="6" fillId="2" borderId="4" xfId="0" applyFont="1" applyFill="1" applyBorder="1" applyAlignment="1">
      <alignment horizontal="left" vertical="center" wrapText="1"/>
    </xf>
    <xf numFmtId="169" fontId="12" fillId="2" borderId="4" xfId="0" applyNumberFormat="1" applyFont="1" applyFill="1" applyBorder="1"/>
    <xf numFmtId="0" fontId="12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39" fontId="12" fillId="2" borderId="4" xfId="0" applyNumberFormat="1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2" fontId="12" fillId="2" borderId="4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169" fontId="12" fillId="2" borderId="0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9" fontId="22" fillId="0" borderId="0" xfId="0" applyNumberFormat="1" applyFont="1"/>
    <xf numFmtId="2" fontId="4" fillId="2" borderId="4" xfId="1" applyNumberFormat="1" applyFont="1" applyFill="1" applyBorder="1" applyAlignment="1"/>
    <xf numFmtId="0" fontId="22" fillId="0" borderId="0" xfId="0" applyFont="1" applyFill="1"/>
    <xf numFmtId="0" fontId="22" fillId="0" borderId="0" xfId="0" applyFont="1" applyFill="1" applyAlignment="1">
      <alignment wrapText="1"/>
    </xf>
    <xf numFmtId="0" fontId="28" fillId="0" borderId="0" xfId="0" applyFont="1" applyFill="1" applyBorder="1" applyAlignment="1">
      <alignment wrapText="1"/>
    </xf>
    <xf numFmtId="39" fontId="22" fillId="0" borderId="0" xfId="0" applyNumberFormat="1" applyFont="1" applyAlignment="1">
      <alignment wrapText="1"/>
    </xf>
    <xf numFmtId="165" fontId="22" fillId="0" borderId="0" xfId="0" applyNumberFormat="1" applyFont="1"/>
    <xf numFmtId="166" fontId="25" fillId="0" borderId="6" xfId="2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2" fontId="31" fillId="0" borderId="29" xfId="0" applyNumberFormat="1" applyFont="1" applyFill="1" applyBorder="1" applyAlignment="1">
      <alignment horizontal="left" vertical="center" wrapText="1"/>
    </xf>
    <xf numFmtId="10" fontId="31" fillId="0" borderId="4" xfId="0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1" fontId="32" fillId="0" borderId="26" xfId="0" applyNumberFormat="1" applyFont="1" applyFill="1" applyBorder="1" applyAlignment="1">
      <alignment horizontal="center" vertical="center" wrapText="1"/>
    </xf>
    <xf numFmtId="0" fontId="6" fillId="0" borderId="4" xfId="18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/>
    </xf>
    <xf numFmtId="10" fontId="32" fillId="0" borderId="28" xfId="0" applyNumberFormat="1" applyFont="1" applyFill="1" applyBorder="1" applyAlignment="1">
      <alignment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/>
    </xf>
    <xf numFmtId="169" fontId="22" fillId="0" borderId="0" xfId="0" applyNumberFormat="1" applyFont="1" applyBorder="1"/>
    <xf numFmtId="0" fontId="22" fillId="0" borderId="0" xfId="0" applyFont="1" applyBorder="1" applyAlignment="1">
      <alignment wrapText="1"/>
    </xf>
    <xf numFmtId="4" fontId="22" fillId="0" borderId="0" xfId="0" applyNumberFormat="1" applyFont="1" applyBorder="1" applyAlignment="1">
      <alignment horizontal="center"/>
    </xf>
    <xf numFmtId="4" fontId="22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4" fontId="39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49" fontId="35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/>
    <xf numFmtId="4" fontId="0" fillId="0" borderId="0" xfId="0" applyNumberFormat="1" applyFont="1" applyFill="1" applyBorder="1"/>
    <xf numFmtId="0" fontId="24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/>
    </xf>
    <xf numFmtId="166" fontId="24" fillId="3" borderId="4" xfId="0" applyNumberFormat="1" applyFont="1" applyFill="1" applyBorder="1" applyAlignment="1">
      <alignment vertical="center"/>
    </xf>
    <xf numFmtId="1" fontId="25" fillId="0" borderId="30" xfId="20" applyNumberFormat="1" applyFont="1" applyFill="1" applyBorder="1" applyAlignment="1">
      <alignment horizontal="left" vertical="center" wrapText="1"/>
    </xf>
    <xf numFmtId="1" fontId="5" fillId="0" borderId="30" xfId="20" applyNumberFormat="1" applyFont="1" applyFill="1" applyBorder="1" applyAlignment="1">
      <alignment horizontal="left" vertical="center" wrapText="1"/>
    </xf>
    <xf numFmtId="2" fontId="32" fillId="0" borderId="5" xfId="0" applyNumberFormat="1" applyFont="1" applyFill="1" applyBorder="1" applyAlignment="1">
      <alignment horizontal="left" vertical="center" wrapText="1"/>
    </xf>
    <xf numFmtId="2" fontId="31" fillId="0" borderId="5" xfId="0" applyNumberFormat="1" applyFont="1" applyFill="1" applyBorder="1" applyAlignment="1">
      <alignment horizontal="left" vertical="center" wrapText="1"/>
    </xf>
    <xf numFmtId="169" fontId="35" fillId="0" borderId="0" xfId="0" applyNumberFormat="1" applyFont="1" applyFill="1" applyBorder="1" applyAlignment="1">
      <alignment horizontal="center" vertical="center" wrapText="1"/>
    </xf>
    <xf numFmtId="169" fontId="22" fillId="0" borderId="0" xfId="0" applyNumberFormat="1" applyFont="1" applyAlignment="1">
      <alignment wrapText="1"/>
    </xf>
    <xf numFmtId="2" fontId="12" fillId="7" borderId="4" xfId="0" applyNumberFormat="1" applyFont="1" applyFill="1" applyBorder="1" applyAlignment="1">
      <alignment horizontal="right"/>
    </xf>
    <xf numFmtId="2" fontId="12" fillId="7" borderId="4" xfId="0" applyNumberFormat="1" applyFont="1" applyFill="1" applyBorder="1" applyAlignment="1">
      <alignment horizontal="right" vertical="center"/>
    </xf>
    <xf numFmtId="2" fontId="12" fillId="7" borderId="4" xfId="0" applyNumberFormat="1" applyFont="1" applyFill="1" applyBorder="1" applyAlignment="1"/>
    <xf numFmtId="1" fontId="4" fillId="0" borderId="26" xfId="18" applyNumberFormat="1" applyFont="1" applyFill="1" applyBorder="1" applyAlignment="1">
      <alignment horizontal="center" vertical="center" wrapText="1"/>
    </xf>
    <xf numFmtId="0" fontId="4" fillId="0" borderId="4" xfId="18" applyFont="1" applyFill="1" applyBorder="1" applyAlignment="1">
      <alignment horizontal="left" vertical="center" wrapText="1"/>
    </xf>
    <xf numFmtId="0" fontId="5" fillId="0" borderId="4" xfId="18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9" fontId="12" fillId="0" borderId="4" xfId="0" applyNumberFormat="1" applyFont="1" applyFill="1" applyBorder="1"/>
    <xf numFmtId="2" fontId="12" fillId="0" borderId="4" xfId="0" applyNumberFormat="1" applyFont="1" applyFill="1" applyBorder="1" applyAlignment="1">
      <alignment horizontal="right"/>
    </xf>
    <xf numFmtId="39" fontId="12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vertical="center" wrapText="1"/>
    </xf>
    <xf numFmtId="39" fontId="12" fillId="0" borderId="4" xfId="0" applyNumberFormat="1" applyFont="1" applyFill="1" applyBorder="1" applyAlignment="1">
      <alignment vertical="center"/>
    </xf>
    <xf numFmtId="2" fontId="12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/>
    <xf numFmtId="0" fontId="40" fillId="0" borderId="4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left" vertical="center" wrapText="1"/>
    </xf>
    <xf numFmtId="39" fontId="24" fillId="0" borderId="3" xfId="0" applyNumberFormat="1" applyFont="1" applyFill="1" applyBorder="1" applyAlignment="1">
      <alignment horizontal="center" vertical="center"/>
    </xf>
    <xf numFmtId="4" fontId="24" fillId="0" borderId="27" xfId="0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4" fontId="24" fillId="0" borderId="3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0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left" vertical="center" wrapText="1"/>
    </xf>
    <xf numFmtId="0" fontId="5" fillId="7" borderId="4" xfId="18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166" fontId="6" fillId="7" borderId="4" xfId="0" applyNumberFormat="1" applyFont="1" applyFill="1" applyBorder="1" applyAlignment="1">
      <alignment horizontal="left" vertical="center" wrapText="1"/>
    </xf>
    <xf numFmtId="39" fontId="24" fillId="7" borderId="3" xfId="0" applyNumberFormat="1" applyFont="1" applyFill="1" applyBorder="1" applyAlignment="1">
      <alignment horizontal="center" vertical="center"/>
    </xf>
    <xf numFmtId="166" fontId="41" fillId="0" borderId="4" xfId="0" applyNumberFormat="1" applyFont="1" applyFill="1" applyBorder="1" applyAlignment="1">
      <alignment horizontal="left" vertical="center" wrapText="1"/>
    </xf>
    <xf numFmtId="39" fontId="24" fillId="7" borderId="7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23" fillId="0" borderId="0" xfId="0" applyFont="1" applyAlignment="1"/>
    <xf numFmtId="39" fontId="24" fillId="5" borderId="3" xfId="0" applyNumberFormat="1" applyFont="1" applyFill="1" applyBorder="1" applyAlignment="1">
      <alignment horizontal="center" vertical="center"/>
    </xf>
    <xf numFmtId="0" fontId="5" fillId="5" borderId="4" xfId="18" applyFont="1" applyFill="1" applyBorder="1" applyAlignment="1">
      <alignment horizontal="justify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49" fontId="29" fillId="3" borderId="7" xfId="0" applyNumberFormat="1" applyFont="1" applyFill="1" applyBorder="1" applyAlignment="1">
      <alignment horizontal="center" vertical="center" wrapText="1"/>
    </xf>
    <xf numFmtId="168" fontId="29" fillId="2" borderId="0" xfId="0" applyNumberFormat="1" applyFont="1" applyFill="1" applyBorder="1" applyAlignment="1">
      <alignment horizontal="center" vertical="center" wrapText="1"/>
    </xf>
    <xf numFmtId="4" fontId="33" fillId="2" borderId="0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vertical="center" wrapText="1"/>
    </xf>
    <xf numFmtId="3" fontId="24" fillId="3" borderId="1" xfId="0" applyNumberFormat="1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7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49" fontId="24" fillId="3" borderId="3" xfId="0" applyNumberFormat="1" applyFont="1" applyFill="1" applyBorder="1" applyAlignment="1">
      <alignment vertical="center" wrapText="1"/>
    </xf>
    <xf numFmtId="49" fontId="29" fillId="3" borderId="8" xfId="0" applyNumberFormat="1" applyFont="1" applyFill="1" applyBorder="1" applyAlignment="1">
      <alignment horizontal="center" vertical="center" wrapText="1"/>
    </xf>
    <xf numFmtId="49" fontId="42" fillId="3" borderId="8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vertical="center" wrapText="1"/>
    </xf>
    <xf numFmtId="166" fontId="22" fillId="3" borderId="4" xfId="0" applyNumberFormat="1" applyFont="1" applyFill="1" applyBorder="1" applyAlignment="1">
      <alignment vertical="center"/>
    </xf>
    <xf numFmtId="3" fontId="22" fillId="3" borderId="4" xfId="0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49" fontId="22" fillId="3" borderId="4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/>
    </xf>
    <xf numFmtId="168" fontId="22" fillId="0" borderId="0" xfId="0" applyNumberFormat="1" applyFont="1" applyBorder="1" applyAlignment="1">
      <alignment horizontal="center" vertical="center"/>
    </xf>
    <xf numFmtId="49" fontId="23" fillId="3" borderId="4" xfId="0" applyNumberFormat="1" applyFont="1" applyFill="1" applyBorder="1" applyAlignment="1">
      <alignment horizontal="center" vertical="center" wrapText="1"/>
    </xf>
    <xf numFmtId="49" fontId="44" fillId="3" borderId="4" xfId="0" applyNumberFormat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9" fontId="42" fillId="0" borderId="32" xfId="20" applyFont="1" applyFill="1" applyBorder="1" applyAlignment="1">
      <alignment horizontal="center" vertical="center" wrapText="1"/>
    </xf>
    <xf numFmtId="39" fontId="24" fillId="0" borderId="9" xfId="0" applyNumberFormat="1" applyFont="1" applyFill="1" applyBorder="1" applyAlignment="1">
      <alignment horizontal="center" vertical="top"/>
    </xf>
    <xf numFmtId="4" fontId="15" fillId="0" borderId="31" xfId="0" applyNumberFormat="1" applyFont="1" applyFill="1" applyBorder="1"/>
    <xf numFmtId="4" fontId="24" fillId="0" borderId="0" xfId="0" applyNumberFormat="1" applyFont="1"/>
    <xf numFmtId="0" fontId="24" fillId="0" borderId="0" xfId="0" applyFont="1"/>
    <xf numFmtId="0" fontId="29" fillId="4" borderId="33" xfId="0" applyFont="1" applyFill="1" applyBorder="1" applyAlignment="1">
      <alignment horizontal="center" vertical="center"/>
    </xf>
    <xf numFmtId="168" fontId="29" fillId="2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vertical="center" wrapText="1"/>
    </xf>
    <xf numFmtId="171" fontId="24" fillId="7" borderId="3" xfId="0" applyNumberFormat="1" applyFont="1" applyFill="1" applyBorder="1" applyAlignment="1">
      <alignment horizontal="center" vertical="center"/>
    </xf>
    <xf numFmtId="4" fontId="24" fillId="5" borderId="27" xfId="0" applyNumberFormat="1" applyFont="1" applyFill="1" applyBorder="1" applyAlignment="1">
      <alignment horizontal="center" vertical="center"/>
    </xf>
    <xf numFmtId="39" fontId="24" fillId="0" borderId="4" xfId="0" applyNumberFormat="1" applyFont="1" applyFill="1" applyBorder="1" applyAlignment="1">
      <alignment horizontal="center" vertical="top"/>
    </xf>
    <xf numFmtId="0" fontId="0" fillId="0" borderId="4" xfId="0" applyBorder="1"/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vertical="center" wrapText="1"/>
    </xf>
    <xf numFmtId="4" fontId="24" fillId="8" borderId="27" xfId="0" applyNumberFormat="1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/>
    </xf>
    <xf numFmtId="2" fontId="30" fillId="2" borderId="0" xfId="0" applyNumberFormat="1" applyFont="1" applyFill="1"/>
    <xf numFmtId="0" fontId="0" fillId="0" borderId="0" xfId="0" applyFont="1" applyFill="1" applyAlignment="1">
      <alignment vertical="center"/>
    </xf>
    <xf numFmtId="4" fontId="39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0" fontId="0" fillId="0" borderId="4" xfId="0" applyFont="1" applyBorder="1"/>
    <xf numFmtId="49" fontId="35" fillId="0" borderId="4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0" fontId="35" fillId="0" borderId="4" xfId="0" applyFont="1" applyFill="1" applyBorder="1" applyAlignment="1">
      <alignment horizontal="center" vertical="center" wrapText="1"/>
    </xf>
    <xf numFmtId="168" fontId="35" fillId="0" borderId="4" xfId="0" applyNumberFormat="1" applyFont="1" applyFill="1" applyBorder="1" applyAlignment="1">
      <alignment horizontal="right" vertical="center" wrapText="1"/>
    </xf>
    <xf numFmtId="168" fontId="46" fillId="0" borderId="4" xfId="0" applyNumberFormat="1" applyFont="1" applyFill="1" applyBorder="1" applyAlignment="1">
      <alignment horizontal="right" vertical="center" wrapText="1"/>
    </xf>
    <xf numFmtId="168" fontId="32" fillId="0" borderId="4" xfId="0" applyNumberFormat="1" applyFont="1" applyFill="1" applyBorder="1" applyAlignment="1">
      <alignment horizontal="right" vertical="center" wrapText="1"/>
    </xf>
    <xf numFmtId="168" fontId="32" fillId="0" borderId="0" xfId="0" applyNumberFormat="1" applyFont="1" applyFill="1" applyBorder="1" applyAlignment="1">
      <alignment horizontal="right" vertical="center" wrapText="1"/>
    </xf>
    <xf numFmtId="4" fontId="0" fillId="7" borderId="4" xfId="0" applyNumberFormat="1" applyFont="1" applyFill="1" applyBorder="1"/>
    <xf numFmtId="4" fontId="21" fillId="7" borderId="4" xfId="0" applyNumberFormat="1" applyFont="1" applyFill="1" applyBorder="1"/>
    <xf numFmtId="168" fontId="35" fillId="7" borderId="4" xfId="0" applyNumberFormat="1" applyFont="1" applyFill="1" applyBorder="1" applyAlignment="1">
      <alignment horizontal="right" vertical="center" wrapText="1"/>
    </xf>
    <xf numFmtId="168" fontId="47" fillId="7" borderId="4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Alignment="1">
      <alignment vertical="center"/>
    </xf>
    <xf numFmtId="168" fontId="47" fillId="0" borderId="0" xfId="0" applyNumberFormat="1" applyFont="1" applyFill="1" applyBorder="1" applyAlignment="1">
      <alignment horizontal="right" vertical="center" wrapText="1"/>
    </xf>
    <xf numFmtId="0" fontId="0" fillId="0" borderId="4" xfId="0" applyFont="1" applyBorder="1" applyAlignment="1">
      <alignment wrapText="1"/>
    </xf>
    <xf numFmtId="2" fontId="29" fillId="2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/>
    <xf numFmtId="4" fontId="30" fillId="5" borderId="0" xfId="0" applyNumberFormat="1" applyFont="1" applyFill="1"/>
    <xf numFmtId="171" fontId="24" fillId="5" borderId="3" xfId="0" applyNumberFormat="1" applyFont="1" applyFill="1" applyBorder="1" applyAlignment="1">
      <alignment horizontal="center" vertical="center"/>
    </xf>
    <xf numFmtId="172" fontId="24" fillId="5" borderId="27" xfId="0" applyNumberFormat="1" applyFont="1" applyFill="1" applyBorder="1" applyAlignment="1">
      <alignment horizontal="center" vertical="center"/>
    </xf>
    <xf numFmtId="171" fontId="24" fillId="5" borderId="27" xfId="0" applyNumberFormat="1" applyFont="1" applyFill="1" applyBorder="1" applyAlignment="1">
      <alignment horizontal="center" vertical="center"/>
    </xf>
    <xf numFmtId="4" fontId="2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169" fontId="22" fillId="0" borderId="0" xfId="0" applyNumberFormat="1" applyFont="1" applyFill="1"/>
    <xf numFmtId="4" fontId="24" fillId="5" borderId="34" xfId="0" applyNumberFormat="1" applyFont="1" applyFill="1" applyBorder="1" applyAlignment="1">
      <alignment horizontal="center" vertical="center"/>
    </xf>
    <xf numFmtId="39" fontId="34" fillId="0" borderId="0" xfId="0" applyNumberFormat="1" applyFont="1" applyFill="1" applyBorder="1" applyAlignment="1">
      <alignment horizontal="center" vertical="center"/>
    </xf>
    <xf numFmtId="49" fontId="29" fillId="5" borderId="0" xfId="0" applyNumberFormat="1" applyFont="1" applyFill="1" applyBorder="1" applyAlignment="1">
      <alignment horizontal="left" vertical="center" wrapText="1"/>
    </xf>
    <xf numFmtId="4" fontId="29" fillId="4" borderId="24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/>
    <xf numFmtId="0" fontId="48" fillId="0" borderId="4" xfId="0" applyFont="1" applyFill="1" applyBorder="1" applyAlignment="1">
      <alignment wrapText="1"/>
    </xf>
    <xf numFmtId="14" fontId="0" fillId="0" borderId="4" xfId="0" applyNumberFormat="1" applyFont="1" applyFill="1" applyBorder="1" applyAlignment="1">
      <alignment horizontal="center" wrapText="1"/>
    </xf>
    <xf numFmtId="0" fontId="49" fillId="0" borderId="4" xfId="0" applyFont="1" applyFill="1" applyBorder="1" applyAlignment="1">
      <alignment wrapText="1"/>
    </xf>
    <xf numFmtId="0" fontId="49" fillId="0" borderId="4" xfId="0" applyFont="1" applyFill="1" applyBorder="1" applyAlignment="1"/>
    <xf numFmtId="0" fontId="48" fillId="0" borderId="4" xfId="0" applyFont="1" applyFill="1" applyBorder="1" applyAlignment="1">
      <alignment vertical="top" wrapText="1"/>
    </xf>
    <xf numFmtId="4" fontId="49" fillId="0" borderId="4" xfId="0" applyNumberFormat="1" applyFont="1" applyFill="1" applyBorder="1" applyAlignment="1"/>
    <xf numFmtId="0" fontId="49" fillId="0" borderId="0" xfId="0" applyFont="1" applyFill="1" applyBorder="1"/>
    <xf numFmtId="4" fontId="49" fillId="0" borderId="0" xfId="0" applyNumberFormat="1" applyFont="1" applyFill="1" applyBorder="1" applyAlignment="1"/>
    <xf numFmtId="0" fontId="49" fillId="0" borderId="0" xfId="0" applyFont="1" applyFill="1" applyBorder="1" applyAlignment="1">
      <alignment wrapText="1"/>
    </xf>
    <xf numFmtId="0" fontId="0" fillId="0" borderId="0" xfId="0" applyBorder="1"/>
    <xf numFmtId="2" fontId="12" fillId="0" borderId="0" xfId="0" applyNumberFormat="1" applyFont="1" applyFill="1" applyBorder="1" applyAlignment="1"/>
    <xf numFmtId="4" fontId="0" fillId="0" borderId="0" xfId="0" applyNumberFormat="1" applyFill="1" applyBorder="1" applyAlignment="1" applyProtection="1">
      <alignment wrapText="1"/>
      <protection locked="0"/>
    </xf>
    <xf numFmtId="0" fontId="0" fillId="0" borderId="4" xfId="0" applyFont="1" applyFill="1" applyBorder="1" applyAlignment="1">
      <alignment horizontal="center" wrapText="1"/>
    </xf>
    <xf numFmtId="4" fontId="49" fillId="2" borderId="4" xfId="0" applyNumberFormat="1" applyFont="1" applyFill="1" applyBorder="1" applyAlignment="1">
      <alignment wrapText="1"/>
    </xf>
    <xf numFmtId="0" fontId="0" fillId="0" borderId="4" xfId="0" applyFont="1" applyFill="1" applyBorder="1" applyAlignment="1">
      <alignment horizontal="left" vertical="top" wrapText="1"/>
    </xf>
    <xf numFmtId="14" fontId="0" fillId="0" borderId="4" xfId="0" applyNumberFormat="1" applyFont="1" applyFill="1" applyBorder="1" applyAlignment="1">
      <alignment horizontal="center" wrapText="1"/>
    </xf>
    <xf numFmtId="2" fontId="22" fillId="0" borderId="0" xfId="0" applyNumberFormat="1" applyFont="1"/>
    <xf numFmtId="4" fontId="0" fillId="2" borderId="4" xfId="0" applyNumberFormat="1" applyFill="1" applyBorder="1" applyAlignment="1">
      <alignment wrapText="1"/>
    </xf>
    <xf numFmtId="0" fontId="48" fillId="0" borderId="4" xfId="0" applyFont="1" applyFill="1" applyBorder="1" applyAlignment="1">
      <alignment horizontal="left" wrapText="1"/>
    </xf>
    <xf numFmtId="0" fontId="49" fillId="0" borderId="11" xfId="0" applyFont="1" applyFill="1" applyBorder="1" applyAlignment="1">
      <alignment wrapText="1"/>
    </xf>
    <xf numFmtId="0" fontId="29" fillId="2" borderId="0" xfId="0" applyFont="1" applyFill="1" applyBorder="1" applyAlignment="1">
      <alignment horizontal="left" vertical="center" wrapText="1"/>
    </xf>
    <xf numFmtId="0" fontId="0" fillId="2" borderId="0" xfId="0" applyFill="1"/>
    <xf numFmtId="4" fontId="0" fillId="0" borderId="0" xfId="0" applyNumberFormat="1"/>
    <xf numFmtId="2" fontId="0" fillId="0" borderId="0" xfId="0" applyNumberFormat="1"/>
    <xf numFmtId="4" fontId="21" fillId="0" borderId="4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2" fontId="32" fillId="0" borderId="28" xfId="0" applyNumberFormat="1" applyFont="1" applyFill="1" applyBorder="1" applyAlignment="1">
      <alignment horizontal="center" vertical="center" wrapText="1"/>
    </xf>
    <xf numFmtId="4" fontId="43" fillId="5" borderId="27" xfId="0" applyNumberFormat="1" applyFont="1" applyFill="1" applyBorder="1" applyAlignment="1">
      <alignment horizontal="center" vertical="center"/>
    </xf>
    <xf numFmtId="39" fontId="43" fillId="7" borderId="3" xfId="0" applyNumberFormat="1" applyFont="1" applyFill="1" applyBorder="1" applyAlignment="1">
      <alignment horizontal="center" vertical="center"/>
    </xf>
    <xf numFmtId="4" fontId="43" fillId="0" borderId="27" xfId="0" applyNumberFormat="1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4" fontId="43" fillId="0" borderId="31" xfId="0" applyNumberFormat="1" applyFont="1" applyFill="1" applyBorder="1" applyAlignment="1">
      <alignment horizontal="center" vertical="center"/>
    </xf>
    <xf numFmtId="1" fontId="5" fillId="0" borderId="35" xfId="20" applyNumberFormat="1" applyFont="1" applyFill="1" applyBorder="1" applyAlignment="1">
      <alignment horizontal="left" vertical="center" wrapText="1"/>
    </xf>
    <xf numFmtId="2" fontId="25" fillId="0" borderId="4" xfId="0" applyNumberFormat="1" applyFont="1" applyFill="1" applyBorder="1" applyAlignment="1">
      <alignment horizontal="left" vertical="center" wrapText="1"/>
    </xf>
    <xf numFmtId="39" fontId="24" fillId="7" borderId="36" xfId="0" applyNumberFormat="1" applyFont="1" applyFill="1" applyBorder="1" applyAlignment="1">
      <alignment horizontal="center" vertical="center"/>
    </xf>
    <xf numFmtId="39" fontId="24" fillId="7" borderId="4" xfId="0" applyNumberFormat="1" applyFont="1" applyFill="1" applyBorder="1" applyAlignment="1">
      <alignment horizontal="center" vertical="center"/>
    </xf>
    <xf numFmtId="39" fontId="43" fillId="5" borderId="3" xfId="0" applyNumberFormat="1" applyFont="1" applyFill="1" applyBorder="1" applyAlignment="1">
      <alignment horizontal="center" vertical="center"/>
    </xf>
    <xf numFmtId="171" fontId="22" fillId="0" borderId="0" xfId="0" applyNumberFormat="1" applyFont="1" applyFill="1"/>
    <xf numFmtId="4" fontId="22" fillId="5" borderId="0" xfId="0" applyNumberFormat="1" applyFont="1" applyFill="1"/>
    <xf numFmtId="0" fontId="34" fillId="5" borderId="0" xfId="0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vertical="center"/>
    </xf>
    <xf numFmtId="0" fontId="51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horizontal="center" vertical="center"/>
    </xf>
    <xf numFmtId="166" fontId="6" fillId="0" borderId="25" xfId="0" applyNumberFormat="1" applyFont="1" applyFill="1" applyBorder="1" applyAlignment="1">
      <alignment horizontal="left" vertical="center" wrapText="1"/>
    </xf>
    <xf numFmtId="39" fontId="43" fillId="7" borderId="9" xfId="0" applyNumberFormat="1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39" fontId="43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wrapText="1"/>
    </xf>
    <xf numFmtId="0" fontId="0" fillId="2" borderId="4" xfId="0" applyFill="1" applyBorder="1"/>
    <xf numFmtId="0" fontId="48" fillId="2" borderId="4" xfId="0" applyFont="1" applyFill="1" applyBorder="1" applyAlignment="1">
      <alignment wrapText="1"/>
    </xf>
    <xf numFmtId="0" fontId="49" fillId="2" borderId="5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49" fillId="2" borderId="4" xfId="0" applyFont="1" applyFill="1" applyBorder="1" applyAlignment="1">
      <alignment wrapText="1"/>
    </xf>
    <xf numFmtId="4" fontId="49" fillId="2" borderId="4" xfId="0" applyNumberFormat="1" applyFont="1" applyFill="1" applyBorder="1" applyAlignment="1">
      <alignment horizontal="right" wrapText="1"/>
    </xf>
    <xf numFmtId="2" fontId="49" fillId="2" borderId="4" xfId="0" applyNumberFormat="1" applyFont="1" applyFill="1" applyBorder="1" applyAlignment="1">
      <alignment horizontal="left" wrapText="1"/>
    </xf>
    <xf numFmtId="0" fontId="49" fillId="2" borderId="4" xfId="0" applyFont="1" applyFill="1" applyBorder="1" applyAlignment="1">
      <alignment horizontal="center"/>
    </xf>
    <xf numFmtId="0" fontId="49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wrapText="1"/>
    </xf>
    <xf numFmtId="0" fontId="49" fillId="2" borderId="4" xfId="0" applyFont="1" applyFill="1" applyBorder="1" applyAlignment="1">
      <alignment vertical="top" wrapText="1"/>
    </xf>
    <xf numFmtId="0" fontId="0" fillId="0" borderId="4" xfId="0" applyFill="1" applyBorder="1"/>
    <xf numFmtId="0" fontId="52" fillId="0" borderId="13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7" fillId="0" borderId="0" xfId="0" applyFont="1" applyBorder="1"/>
    <xf numFmtId="0" fontId="57" fillId="0" borderId="0" xfId="0" applyFont="1" applyBorder="1" applyAlignment="1">
      <alignment wrapText="1"/>
    </xf>
    <xf numFmtId="0" fontId="55" fillId="0" borderId="14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vertical="center"/>
    </xf>
    <xf numFmtId="0" fontId="51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vertical="center" wrapText="1"/>
    </xf>
    <xf numFmtId="0" fontId="50" fillId="0" borderId="4" xfId="0" applyFont="1" applyBorder="1" applyAlignment="1">
      <alignment horizontal="center" vertical="center"/>
    </xf>
    <xf numFmtId="4" fontId="49" fillId="0" borderId="4" xfId="0" applyNumberFormat="1" applyFont="1" applyFill="1" applyBorder="1" applyAlignment="1">
      <alignment horizontal="right"/>
    </xf>
    <xf numFmtId="4" fontId="49" fillId="2" borderId="5" xfId="0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4" fontId="49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0" fillId="2" borderId="15" xfId="0" applyFill="1" applyBorder="1"/>
    <xf numFmtId="0" fontId="0" fillId="0" borderId="4" xfId="0" applyBorder="1" applyAlignment="1">
      <alignment wrapText="1"/>
    </xf>
    <xf numFmtId="0" fontId="0" fillId="0" borderId="0" xfId="0"/>
    <xf numFmtId="49" fontId="22" fillId="0" borderId="4" xfId="0" applyNumberFormat="1" applyFont="1" applyFill="1" applyBorder="1" applyAlignment="1">
      <alignment horizontal="left" vertical="top" wrapText="1"/>
    </xf>
    <xf numFmtId="0" fontId="0" fillId="0" borderId="0" xfId="0" applyFont="1" applyBorder="1"/>
    <xf numFmtId="0" fontId="0" fillId="0" borderId="4" xfId="0" applyBorder="1"/>
    <xf numFmtId="2" fontId="0" fillId="0" borderId="4" xfId="0" applyNumberFormat="1" applyBorder="1"/>
    <xf numFmtId="0" fontId="0" fillId="0" borderId="0" xfId="0" applyAlignment="1">
      <alignment wrapText="1"/>
    </xf>
    <xf numFmtId="14" fontId="0" fillId="0" borderId="4" xfId="0" applyNumberFormat="1" applyFont="1" applyFill="1" applyBorder="1" applyAlignment="1">
      <alignment horizontal="center" wrapText="1"/>
    </xf>
    <xf numFmtId="170" fontId="48" fillId="0" borderId="4" xfId="0" applyNumberFormat="1" applyFont="1" applyFill="1" applyBorder="1" applyAlignment="1">
      <alignment vertical="top" wrapText="1"/>
    </xf>
    <xf numFmtId="0" fontId="21" fillId="0" borderId="4" xfId="0" applyFont="1" applyFill="1" applyBorder="1"/>
    <xf numFmtId="0" fontId="0" fillId="0" borderId="0" xfId="0" applyBorder="1"/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left" wrapText="1"/>
    </xf>
    <xf numFmtId="0" fontId="0" fillId="0" borderId="0" xfId="0" applyFont="1" applyFill="1"/>
    <xf numFmtId="0" fontId="21" fillId="0" borderId="0" xfId="0" applyFont="1" applyFill="1"/>
    <xf numFmtId="0" fontId="0" fillId="0" borderId="4" xfId="0" applyFont="1" applyFill="1" applyBorder="1" applyAlignment="1">
      <alignment horizontal="center" wrapText="1"/>
    </xf>
    <xf numFmtId="4" fontId="49" fillId="2" borderId="4" xfId="0" applyNumberFormat="1" applyFont="1" applyFill="1" applyBorder="1"/>
    <xf numFmtId="0" fontId="49" fillId="0" borderId="4" xfId="0" applyFont="1" applyFill="1" applyBorder="1" applyAlignment="1">
      <alignment horizontal="left" vertical="top" wrapText="1"/>
    </xf>
    <xf numFmtId="2" fontId="0" fillId="2" borderId="4" xfId="0" applyNumberFormat="1" applyFont="1" applyFill="1" applyBorder="1"/>
    <xf numFmtId="0" fontId="0" fillId="2" borderId="5" xfId="0" applyFont="1" applyFill="1" applyBorder="1" applyAlignment="1">
      <alignment vertical="center" wrapText="1"/>
    </xf>
    <xf numFmtId="2" fontId="0" fillId="0" borderId="0" xfId="0" applyNumberFormat="1"/>
    <xf numFmtId="0" fontId="0" fillId="0" borderId="11" xfId="0" applyBorder="1"/>
    <xf numFmtId="0" fontId="0" fillId="2" borderId="11" xfId="0" applyFill="1" applyBorder="1" applyAlignment="1">
      <alignment horizontal="center"/>
    </xf>
    <xf numFmtId="4" fontId="49" fillId="2" borderId="15" xfId="0" applyNumberFormat="1" applyFont="1" applyFill="1" applyBorder="1" applyAlignment="1">
      <alignment horizontal="right" wrapText="1"/>
    </xf>
    <xf numFmtId="0" fontId="48" fillId="0" borderId="4" xfId="0" applyFont="1" applyFill="1" applyBorder="1" applyAlignment="1">
      <alignment horizontal="left" vertical="top" wrapText="1"/>
    </xf>
    <xf numFmtId="0" fontId="48" fillId="0" borderId="4" xfId="0" applyFont="1" applyBorder="1" applyAlignment="1">
      <alignment horizontal="left" wrapText="1"/>
    </xf>
    <xf numFmtId="2" fontId="0" fillId="0" borderId="4" xfId="0" applyNumberFormat="1" applyFill="1" applyBorder="1"/>
    <xf numFmtId="4" fontId="22" fillId="0" borderId="0" xfId="0" applyNumberFormat="1" applyFont="1" applyFill="1" applyAlignment="1">
      <alignment wrapText="1"/>
    </xf>
    <xf numFmtId="1" fontId="8" fillId="0" borderId="28" xfId="18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2" fontId="12" fillId="0" borderId="4" xfId="18" applyNumberFormat="1" applyFont="1" applyFill="1" applyBorder="1" applyAlignment="1">
      <alignment horizontal="left" vertical="center" wrapText="1"/>
    </xf>
    <xf numFmtId="2" fontId="5" fillId="2" borderId="4" xfId="18" applyNumberFormat="1" applyFont="1" applyFill="1" applyBorder="1" applyAlignment="1">
      <alignment horizontal="left" vertical="center" wrapText="1"/>
    </xf>
    <xf numFmtId="1" fontId="5" fillId="0" borderId="37" xfId="20" applyNumberFormat="1" applyFont="1" applyFill="1" applyBorder="1" applyAlignment="1">
      <alignment horizontal="left" vertical="center" wrapText="1"/>
    </xf>
    <xf numFmtId="2" fontId="31" fillId="0" borderId="4" xfId="0" applyNumberFormat="1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left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10" fontId="31" fillId="0" borderId="4" xfId="0" applyNumberFormat="1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" fontId="25" fillId="0" borderId="38" xfId="2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0" fillId="0" borderId="4" xfId="0" applyFont="1" applyFill="1" applyBorder="1" applyAlignment="1">
      <alignment vertical="center" wrapText="1"/>
    </xf>
    <xf numFmtId="0" fontId="25" fillId="5" borderId="4" xfId="19" applyFont="1" applyFill="1" applyBorder="1" applyAlignment="1">
      <alignment vertical="center" wrapText="1"/>
    </xf>
    <xf numFmtId="0" fontId="22" fillId="0" borderId="4" xfId="0" applyFont="1" applyBorder="1"/>
    <xf numFmtId="9" fontId="42" fillId="0" borderId="39" xfId="20" applyFont="1" applyFill="1" applyBorder="1" applyAlignment="1">
      <alignment horizontal="center" vertical="center" wrapText="1"/>
    </xf>
    <xf numFmtId="0" fontId="4" fillId="0" borderId="4" xfId="18" applyFont="1" applyFill="1" applyBorder="1" applyAlignment="1">
      <alignment horizontal="center" vertical="center" wrapText="1"/>
    </xf>
    <xf numFmtId="2" fontId="5" fillId="0" borderId="4" xfId="18" applyNumberFormat="1" applyFont="1" applyFill="1" applyBorder="1" applyAlignment="1">
      <alignment horizontal="center" vertical="center" wrapText="1"/>
    </xf>
    <xf numFmtId="2" fontId="5" fillId="5" borderId="4" xfId="18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5" fontId="25" fillId="0" borderId="4" xfId="0" applyNumberFormat="1" applyFont="1" applyFill="1" applyBorder="1" applyAlignment="1">
      <alignment horizontal="center" vertical="center" wrapText="1"/>
    </xf>
    <xf numFmtId="0" fontId="5" fillId="0" borderId="4" xfId="19" applyFont="1" applyFill="1" applyBorder="1" applyAlignment="1">
      <alignment horizontal="center" vertical="center" wrapText="1"/>
    </xf>
    <xf numFmtId="0" fontId="5" fillId="5" borderId="4" xfId="19" applyFont="1" applyFill="1" applyBorder="1" applyAlignment="1">
      <alignment horizontal="center" vertical="center" wrapText="1"/>
    </xf>
    <xf numFmtId="166" fontId="25" fillId="0" borderId="4" xfId="2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left" vertical="center" wrapText="1"/>
    </xf>
    <xf numFmtId="166" fontId="25" fillId="0" borderId="4" xfId="20" applyNumberFormat="1" applyFont="1" applyFill="1" applyBorder="1" applyAlignment="1">
      <alignment horizontal="center" vertical="center" wrapText="1"/>
    </xf>
    <xf numFmtId="166" fontId="5" fillId="0" borderId="4" xfId="2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/>
    <xf numFmtId="0" fontId="24" fillId="0" borderId="4" xfId="0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center" vertical="center" wrapText="1"/>
    </xf>
    <xf numFmtId="2" fontId="25" fillId="0" borderId="6" xfId="0" applyNumberFormat="1" applyFont="1" applyFill="1" applyBorder="1" applyAlignment="1">
      <alignment horizontal="center" vertical="center" wrapText="1"/>
    </xf>
    <xf numFmtId="1" fontId="25" fillId="5" borderId="30" xfId="20" applyNumberFormat="1" applyFont="1" applyFill="1" applyBorder="1" applyAlignment="1">
      <alignment horizontal="left" vertical="center" wrapText="1"/>
    </xf>
    <xf numFmtId="0" fontId="5" fillId="2" borderId="4" xfId="18" applyFont="1" applyFill="1" applyBorder="1" applyAlignment="1">
      <alignment horizontal="center" vertical="center" wrapText="1"/>
    </xf>
    <xf numFmtId="1" fontId="25" fillId="2" borderId="30" xfId="20" applyNumberFormat="1" applyFont="1" applyFill="1" applyBorder="1" applyAlignment="1">
      <alignment horizontal="left" vertical="center" wrapText="1"/>
    </xf>
    <xf numFmtId="10" fontId="32" fillId="5" borderId="4" xfId="0" applyNumberFormat="1" applyFont="1" applyFill="1" applyBorder="1" applyAlignment="1">
      <alignment horizontal="left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4" fillId="2" borderId="27" xfId="0" applyNumberFormat="1" applyFont="1" applyFill="1" applyBorder="1" applyAlignment="1">
      <alignment horizontal="center" vertical="center"/>
    </xf>
    <xf numFmtId="4" fontId="14" fillId="5" borderId="27" xfId="0" applyNumberFormat="1" applyFont="1" applyFill="1" applyBorder="1" applyAlignment="1">
      <alignment horizontal="center" vertical="center"/>
    </xf>
    <xf numFmtId="4" fontId="14" fillId="0" borderId="27" xfId="0" applyNumberFormat="1" applyFont="1" applyFill="1" applyBorder="1" applyAlignment="1">
      <alignment horizontal="center" vertical="center"/>
    </xf>
    <xf numFmtId="39" fontId="14" fillId="0" borderId="3" xfId="0" applyNumberFormat="1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4" fontId="24" fillId="2" borderId="31" xfId="0" applyNumberFormat="1" applyFont="1" applyFill="1" applyBorder="1" applyAlignment="1">
      <alignment horizontal="center" vertical="center"/>
    </xf>
    <xf numFmtId="39" fontId="14" fillId="5" borderId="3" xfId="0" applyNumberFormat="1" applyFont="1" applyFill="1" applyBorder="1" applyAlignment="1">
      <alignment horizontal="center" vertical="center"/>
    </xf>
    <xf numFmtId="171" fontId="14" fillId="7" borderId="3" xfId="0" applyNumberFormat="1" applyFont="1" applyFill="1" applyBorder="1" applyAlignment="1">
      <alignment horizontal="center" vertical="center"/>
    </xf>
    <xf numFmtId="39" fontId="24" fillId="7" borderId="2" xfId="0" applyNumberFormat="1" applyFont="1" applyFill="1" applyBorder="1" applyAlignment="1">
      <alignment horizontal="center" vertical="center"/>
    </xf>
    <xf numFmtId="169" fontId="12" fillId="2" borderId="0" xfId="0" applyNumberFormat="1" applyFont="1" applyFill="1" applyBorder="1" applyAlignment="1"/>
    <xf numFmtId="0" fontId="5" fillId="2" borderId="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0" fillId="0" borderId="4" xfId="0" applyNumberFormat="1" applyFont="1" applyFill="1" applyBorder="1"/>
    <xf numFmtId="2" fontId="49" fillId="0" borderId="4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49" fillId="0" borderId="3" xfId="0" applyNumberFormat="1" applyFont="1" applyFill="1" applyBorder="1" applyAlignment="1">
      <alignment wrapText="1"/>
    </xf>
    <xf numFmtId="4" fontId="49" fillId="0" borderId="3" xfId="0" applyNumberFormat="1" applyFont="1" applyFill="1" applyBorder="1" applyAlignment="1">
      <alignment wrapText="1"/>
    </xf>
    <xf numFmtId="4" fontId="0" fillId="0" borderId="4" xfId="0" applyNumberFormat="1" applyFill="1" applyBorder="1"/>
    <xf numFmtId="0" fontId="0" fillId="0" borderId="4" xfId="0" applyBorder="1" applyAlignment="1">
      <alignment horizontal="center" wrapText="1"/>
    </xf>
    <xf numFmtId="0" fontId="0" fillId="7" borderId="4" xfId="0" applyFill="1" applyBorder="1"/>
    <xf numFmtId="4" fontId="49" fillId="7" borderId="4" xfId="0" applyNumberFormat="1" applyFont="1" applyFill="1" applyBorder="1" applyAlignment="1">
      <alignment horizontal="right" wrapText="1"/>
    </xf>
    <xf numFmtId="0" fontId="0" fillId="2" borderId="0" xfId="0" applyFill="1" applyBorder="1"/>
    <xf numFmtId="0" fontId="0" fillId="0" borderId="0" xfId="0" applyAlignment="1">
      <alignment horizontal="center" wrapText="1"/>
    </xf>
    <xf numFmtId="0" fontId="0" fillId="0" borderId="3" xfId="0" applyFill="1" applyBorder="1"/>
    <xf numFmtId="0" fontId="0" fillId="2" borderId="5" xfId="0" applyFont="1" applyFill="1" applyBorder="1" applyAlignment="1">
      <alignment wrapText="1"/>
    </xf>
    <xf numFmtId="0" fontId="48" fillId="2" borderId="5" xfId="0" applyFont="1" applyFill="1" applyBorder="1" applyAlignment="1">
      <alignment wrapText="1"/>
    </xf>
    <xf numFmtId="0" fontId="49" fillId="2" borderId="5" xfId="0" applyFont="1" applyFill="1" applyBorder="1" applyAlignment="1">
      <alignment vertical="top" wrapText="1"/>
    </xf>
    <xf numFmtId="0" fontId="49" fillId="0" borderId="5" xfId="0" applyFont="1" applyFill="1" applyBorder="1" applyAlignment="1"/>
    <xf numFmtId="0" fontId="5" fillId="2" borderId="5" xfId="0" applyFont="1" applyFill="1" applyBorder="1" applyAlignment="1">
      <alignment vertical="center" wrapText="1"/>
    </xf>
    <xf numFmtId="2" fontId="5" fillId="2" borderId="5" xfId="18" applyNumberFormat="1" applyFont="1" applyFill="1" applyBorder="1" applyAlignment="1">
      <alignment vertical="center" wrapText="1"/>
    </xf>
    <xf numFmtId="4" fontId="24" fillId="9" borderId="27" xfId="0" applyNumberFormat="1" applyFont="1" applyFill="1" applyBorder="1" applyAlignment="1">
      <alignment horizontal="center" vertical="center"/>
    </xf>
    <xf numFmtId="49" fontId="23" fillId="2" borderId="16" xfId="0" applyNumberFormat="1" applyFont="1" applyFill="1" applyBorder="1" applyAlignment="1">
      <alignment horizontal="center" vertical="center" wrapText="1"/>
    </xf>
    <xf numFmtId="2" fontId="23" fillId="0" borderId="17" xfId="0" applyNumberFormat="1" applyFont="1" applyBorder="1" applyAlignment="1">
      <alignment vertical="center" wrapText="1"/>
    </xf>
    <xf numFmtId="0" fontId="35" fillId="2" borderId="16" xfId="0" applyFont="1" applyFill="1" applyBorder="1" applyAlignment="1">
      <alignment horizontal="center" vertical="center" wrapText="1"/>
    </xf>
    <xf numFmtId="4" fontId="29" fillId="2" borderId="17" xfId="0" applyNumberFormat="1" applyFont="1" applyFill="1" applyBorder="1" applyAlignment="1">
      <alignment horizontal="center" vertical="center"/>
    </xf>
    <xf numFmtId="2" fontId="29" fillId="2" borderId="17" xfId="0" applyNumberFormat="1" applyFont="1" applyFill="1" applyBorder="1" applyAlignment="1">
      <alignment horizontal="center" vertical="center"/>
    </xf>
    <xf numFmtId="0" fontId="24" fillId="0" borderId="4" xfId="0" applyFont="1" applyBorder="1"/>
    <xf numFmtId="9" fontId="42" fillId="0" borderId="41" xfId="20" applyFont="1" applyFill="1" applyBorder="1" applyAlignment="1">
      <alignment horizontal="center" vertical="center" wrapText="1"/>
    </xf>
    <xf numFmtId="9" fontId="42" fillId="0" borderId="11" xfId="2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/>
    </xf>
    <xf numFmtId="4" fontId="43" fillId="5" borderId="3" xfId="0" applyNumberFormat="1" applyFont="1" applyFill="1" applyBorder="1" applyAlignment="1">
      <alignment horizontal="center" vertical="center"/>
    </xf>
    <xf numFmtId="4" fontId="24" fillId="0" borderId="42" xfId="0" applyNumberFormat="1" applyFont="1" applyFill="1" applyBorder="1" applyAlignment="1">
      <alignment horizontal="center" vertical="center"/>
    </xf>
    <xf numFmtId="4" fontId="24" fillId="5" borderId="42" xfId="0" applyNumberFormat="1" applyFont="1" applyFill="1" applyBorder="1" applyAlignment="1">
      <alignment horizontal="center" vertical="center"/>
    </xf>
    <xf numFmtId="4" fontId="14" fillId="5" borderId="42" xfId="0" applyNumberFormat="1" applyFont="1" applyFill="1" applyBorder="1" applyAlignment="1">
      <alignment horizontal="center" vertical="center"/>
    </xf>
    <xf numFmtId="4" fontId="14" fillId="0" borderId="42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4" fontId="24" fillId="0" borderId="43" xfId="0" applyNumberFormat="1" applyFont="1" applyFill="1" applyBorder="1" applyAlignment="1">
      <alignment horizontal="center" vertical="center"/>
    </xf>
    <xf numFmtId="4" fontId="24" fillId="5" borderId="44" xfId="0" applyNumberFormat="1" applyFont="1" applyFill="1" applyBorder="1" applyAlignment="1">
      <alignment horizontal="center" vertical="center"/>
    </xf>
    <xf numFmtId="4" fontId="43" fillId="0" borderId="45" xfId="0" applyNumberFormat="1" applyFont="1" applyFill="1" applyBorder="1" applyAlignment="1">
      <alignment horizontal="center" vertical="center"/>
    </xf>
    <xf numFmtId="4" fontId="43" fillId="2" borderId="45" xfId="0" applyNumberFormat="1" applyFont="1" applyFill="1" applyBorder="1" applyAlignment="1">
      <alignment horizontal="center" vertical="center"/>
    </xf>
    <xf numFmtId="4" fontId="43" fillId="5" borderId="45" xfId="0" applyNumberFormat="1" applyFont="1" applyFill="1" applyBorder="1" applyAlignment="1">
      <alignment horizontal="center" vertical="center"/>
    </xf>
    <xf numFmtId="4" fontId="43" fillId="7" borderId="45" xfId="0" applyNumberFormat="1" applyFont="1" applyFill="1" applyBorder="1" applyAlignment="1">
      <alignment horizontal="center" vertical="center"/>
    </xf>
    <xf numFmtId="4" fontId="58" fillId="5" borderId="45" xfId="0" applyNumberFormat="1" applyFont="1" applyFill="1" applyBorder="1" applyAlignment="1">
      <alignment horizontal="center" vertical="center"/>
    </xf>
    <xf numFmtId="2" fontId="15" fillId="0" borderId="9" xfId="0" applyNumberFormat="1" applyFont="1" applyFill="1" applyBorder="1"/>
    <xf numFmtId="4" fontId="42" fillId="4" borderId="19" xfId="0" applyNumberFormat="1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4" fontId="24" fillId="0" borderId="18" xfId="0" applyNumberFormat="1" applyFont="1" applyFill="1" applyBorder="1" applyAlignment="1">
      <alignment horizontal="center" vertical="center"/>
    </xf>
    <xf numFmtId="4" fontId="24" fillId="2" borderId="20" xfId="0" applyNumberFormat="1" applyFont="1" applyFill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/>
    </xf>
    <xf numFmtId="4" fontId="24" fillId="5" borderId="20" xfId="0" applyNumberFormat="1" applyFont="1" applyFill="1" applyBorder="1" applyAlignment="1">
      <alignment horizontal="center" vertical="center"/>
    </xf>
    <xf numFmtId="4" fontId="24" fillId="8" borderId="20" xfId="0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4" fontId="24" fillId="0" borderId="21" xfId="0" applyNumberFormat="1" applyFont="1" applyFill="1" applyBorder="1" applyAlignment="1">
      <alignment horizontal="center" vertical="center"/>
    </xf>
    <xf numFmtId="172" fontId="24" fillId="5" borderId="20" xfId="0" applyNumberFormat="1" applyFont="1" applyFill="1" applyBorder="1" applyAlignment="1">
      <alignment horizontal="center" vertical="center"/>
    </xf>
    <xf numFmtId="4" fontId="24" fillId="5" borderId="22" xfId="0" applyNumberFormat="1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/>
    </xf>
    <xf numFmtId="2" fontId="23" fillId="0" borderId="59" xfId="0" applyNumberFormat="1" applyFont="1" applyBorder="1" applyAlignment="1">
      <alignment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1" fontId="5" fillId="0" borderId="60" xfId="20" applyNumberFormat="1" applyFont="1" applyFill="1" applyBorder="1" applyAlignment="1">
      <alignment horizontal="left" vertical="center" wrapText="1"/>
    </xf>
    <xf numFmtId="0" fontId="5" fillId="0" borderId="5" xfId="18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center" wrapText="1"/>
    </xf>
    <xf numFmtId="4" fontId="24" fillId="5" borderId="21" xfId="0" applyNumberFormat="1" applyFont="1" applyFill="1" applyBorder="1" applyAlignment="1">
      <alignment horizontal="center" vertical="center"/>
    </xf>
    <xf numFmtId="1" fontId="5" fillId="0" borderId="39" xfId="20" applyNumberFormat="1" applyFont="1" applyFill="1" applyBorder="1" applyAlignment="1">
      <alignment horizontal="left" vertical="center" wrapText="1"/>
    </xf>
    <xf numFmtId="1" fontId="5" fillId="0" borderId="4" xfId="20" applyNumberFormat="1" applyFont="1" applyFill="1" applyBorder="1" applyAlignment="1">
      <alignment horizontal="left" vertical="center" wrapText="1"/>
    </xf>
    <xf numFmtId="1" fontId="5" fillId="0" borderId="41" xfId="20" applyNumberFormat="1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center" vertical="center" wrapText="1"/>
    </xf>
    <xf numFmtId="1" fontId="5" fillId="0" borderId="61" xfId="20" applyNumberFormat="1" applyFont="1" applyFill="1" applyBorder="1" applyAlignment="1">
      <alignment horizontal="left" vertical="center" wrapText="1"/>
    </xf>
    <xf numFmtId="1" fontId="5" fillId="0" borderId="11" xfId="20" applyNumberFormat="1" applyFont="1" applyFill="1" applyBorder="1" applyAlignment="1">
      <alignment horizontal="left" vertical="center" wrapText="1"/>
    </xf>
    <xf numFmtId="4" fontId="24" fillId="5" borderId="4" xfId="0" applyNumberFormat="1" applyFont="1" applyFill="1" applyBorder="1" applyAlignment="1">
      <alignment horizontal="center" vertical="center"/>
    </xf>
    <xf numFmtId="4" fontId="24" fillId="5" borderId="13" xfId="0" applyNumberFormat="1" applyFont="1" applyFill="1" applyBorder="1" applyAlignment="1">
      <alignment horizontal="center" vertical="center"/>
    </xf>
    <xf numFmtId="39" fontId="24" fillId="5" borderId="7" xfId="0" applyNumberFormat="1" applyFont="1" applyFill="1" applyBorder="1" applyAlignment="1">
      <alignment horizontal="center" vertical="center"/>
    </xf>
    <xf numFmtId="39" fontId="24" fillId="5" borderId="4" xfId="0" applyNumberFormat="1" applyFont="1" applyFill="1" applyBorder="1" applyAlignment="1">
      <alignment horizontal="center" vertical="center"/>
    </xf>
    <xf numFmtId="2" fontId="29" fillId="2" borderId="4" xfId="0" applyNumberFormat="1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left" vertical="center" wrapText="1"/>
    </xf>
    <xf numFmtId="39" fontId="24" fillId="0" borderId="7" xfId="0" applyNumberFormat="1" applyFont="1" applyFill="1" applyBorder="1" applyAlignment="1">
      <alignment horizontal="center" vertical="center"/>
    </xf>
    <xf numFmtId="171" fontId="24" fillId="7" borderId="7" xfId="0" applyNumberFormat="1" applyFont="1" applyFill="1" applyBorder="1" applyAlignment="1">
      <alignment horizontal="center" vertical="center"/>
    </xf>
    <xf numFmtId="39" fontId="24" fillId="7" borderId="23" xfId="0" applyNumberFormat="1" applyFont="1" applyFill="1" applyBorder="1" applyAlignment="1">
      <alignment horizontal="center" vertical="center"/>
    </xf>
    <xf numFmtId="4" fontId="24" fillId="5" borderId="14" xfId="0" applyNumberFormat="1" applyFont="1" applyFill="1" applyBorder="1" applyAlignment="1">
      <alignment horizontal="center" vertical="center"/>
    </xf>
    <xf numFmtId="4" fontId="24" fillId="5" borderId="62" xfId="0" applyNumberFormat="1" applyFont="1" applyFill="1" applyBorder="1" applyAlignment="1">
      <alignment horizontal="center" vertical="center"/>
    </xf>
    <xf numFmtId="4" fontId="43" fillId="5" borderId="7" xfId="0" applyNumberFormat="1" applyFont="1" applyFill="1" applyBorder="1" applyAlignment="1">
      <alignment horizontal="center" vertical="center"/>
    </xf>
    <xf numFmtId="0" fontId="5" fillId="0" borderId="11" xfId="18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2" fontId="32" fillId="0" borderId="15" xfId="0" applyNumberFormat="1" applyFont="1" applyFill="1" applyBorder="1" applyAlignment="1">
      <alignment horizontal="left" vertical="center" wrapText="1"/>
    </xf>
    <xf numFmtId="0" fontId="6" fillId="0" borderId="11" xfId="18" applyFont="1" applyFill="1" applyBorder="1" applyAlignment="1">
      <alignment horizontal="left" vertical="center" wrapText="1"/>
    </xf>
    <xf numFmtId="0" fontId="5" fillId="0" borderId="15" xfId="18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left" vertical="center" wrapText="1"/>
    </xf>
    <xf numFmtId="39" fontId="24" fillId="5" borderId="11" xfId="0" applyNumberFormat="1" applyFont="1" applyFill="1" applyBorder="1" applyAlignment="1">
      <alignment horizontal="center" vertical="center"/>
    </xf>
    <xf numFmtId="39" fontId="24" fillId="0" borderId="9" xfId="0" applyNumberFormat="1" applyFont="1" applyFill="1" applyBorder="1" applyAlignment="1">
      <alignment horizontal="center" vertical="center"/>
    </xf>
    <xf numFmtId="171" fontId="24" fillId="7" borderId="9" xfId="0" applyNumberFormat="1" applyFont="1" applyFill="1" applyBorder="1" applyAlignment="1">
      <alignment horizontal="center" vertical="center"/>
    </xf>
    <xf numFmtId="39" fontId="24" fillId="7" borderId="8" xfId="0" applyNumberFormat="1" applyFont="1" applyFill="1" applyBorder="1" applyAlignment="1">
      <alignment horizontal="center" vertical="center"/>
    </xf>
    <xf numFmtId="4" fontId="24" fillId="5" borderId="11" xfId="0" applyNumberFormat="1" applyFont="1" applyFill="1" applyBorder="1" applyAlignment="1">
      <alignment horizontal="center" vertical="center"/>
    </xf>
    <xf numFmtId="4" fontId="43" fillId="5" borderId="9" xfId="0" applyNumberFormat="1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vertical="center" wrapText="1"/>
    </xf>
    <xf numFmtId="0" fontId="22" fillId="9" borderId="4" xfId="0" applyFont="1" applyFill="1" applyBorder="1" applyAlignment="1">
      <alignment horizontal="center" vertical="center" wrapText="1"/>
    </xf>
    <xf numFmtId="49" fontId="22" fillId="9" borderId="4" xfId="0" applyNumberFormat="1" applyFont="1" applyFill="1" applyBorder="1" applyAlignment="1">
      <alignment horizontal="center" vertical="center"/>
    </xf>
    <xf numFmtId="2" fontId="25" fillId="9" borderId="4" xfId="0" applyNumberFormat="1" applyFont="1" applyFill="1" applyBorder="1" applyAlignment="1">
      <alignment horizontal="left" vertical="center" wrapText="1"/>
    </xf>
    <xf numFmtId="2" fontId="25" fillId="9" borderId="4" xfId="0" applyNumberFormat="1" applyFont="1" applyFill="1" applyBorder="1" applyAlignment="1">
      <alignment horizontal="center" vertical="center" wrapText="1"/>
    </xf>
    <xf numFmtId="1" fontId="5" fillId="9" borderId="4" xfId="20" applyNumberFormat="1" applyFont="1" applyFill="1" applyBorder="1" applyAlignment="1">
      <alignment horizontal="left" vertical="center" wrapText="1"/>
    </xf>
    <xf numFmtId="2" fontId="32" fillId="9" borderId="4" xfId="0" applyNumberFormat="1" applyFont="1" applyFill="1" applyBorder="1" applyAlignment="1">
      <alignment horizontal="center" vertical="center" wrapText="1"/>
    </xf>
    <xf numFmtId="2" fontId="32" fillId="9" borderId="4" xfId="0" applyNumberFormat="1" applyFont="1" applyFill="1" applyBorder="1" applyAlignment="1">
      <alignment horizontal="left" vertical="center" wrapText="1"/>
    </xf>
    <xf numFmtId="2" fontId="31" fillId="9" borderId="4" xfId="0" applyNumberFormat="1" applyFont="1" applyFill="1" applyBorder="1" applyAlignment="1">
      <alignment horizontal="left" vertical="center" wrapText="1"/>
    </xf>
    <xf numFmtId="0" fontId="5" fillId="9" borderId="4" xfId="18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left" vertical="center" wrapText="1"/>
    </xf>
    <xf numFmtId="39" fontId="24" fillId="9" borderId="4" xfId="0" applyNumberFormat="1" applyFont="1" applyFill="1" applyBorder="1" applyAlignment="1">
      <alignment horizontal="center" vertical="center"/>
    </xf>
    <xf numFmtId="4" fontId="24" fillId="9" borderId="4" xfId="0" applyNumberFormat="1" applyFont="1" applyFill="1" applyBorder="1" applyAlignment="1">
      <alignment horizontal="center" vertical="center"/>
    </xf>
    <xf numFmtId="4" fontId="14" fillId="2" borderId="27" xfId="0" applyNumberFormat="1" applyFon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wrapText="1"/>
    </xf>
    <xf numFmtId="0" fontId="0" fillId="5" borderId="5" xfId="0" applyFill="1" applyBorder="1"/>
    <xf numFmtId="2" fontId="49" fillId="5" borderId="11" xfId="0" applyNumberFormat="1" applyFont="1" applyFill="1" applyBorder="1" applyAlignment="1">
      <alignment horizontal="left" wrapText="1"/>
    </xf>
    <xf numFmtId="4" fontId="49" fillId="5" borderId="5" xfId="0" applyNumberFormat="1" applyFont="1" applyFill="1" applyBorder="1" applyAlignment="1">
      <alignment horizontal="right" wrapText="1"/>
    </xf>
    <xf numFmtId="0" fontId="49" fillId="5" borderId="5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170" fontId="48" fillId="2" borderId="4" xfId="0" applyNumberFormat="1" applyFont="1" applyFill="1" applyBorder="1" applyAlignment="1">
      <alignment vertical="top" wrapText="1"/>
    </xf>
    <xf numFmtId="2" fontId="12" fillId="0" borderId="4" xfId="18" applyNumberFormat="1" applyFont="1" applyFill="1" applyBorder="1" applyAlignment="1">
      <alignment vertical="center" wrapText="1"/>
    </xf>
    <xf numFmtId="0" fontId="0" fillId="7" borderId="4" xfId="0" applyFont="1" applyFill="1" applyBorder="1" applyAlignment="1">
      <alignment vertical="center" wrapText="1"/>
    </xf>
    <xf numFmtId="0" fontId="0" fillId="5" borderId="0" xfId="0" applyFill="1"/>
    <xf numFmtId="2" fontId="12" fillId="0" borderId="4" xfId="18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4" fontId="29" fillId="5" borderId="20" xfId="0" applyNumberFormat="1" applyFont="1" applyFill="1" applyBorder="1" applyAlignment="1">
      <alignment horizontal="center" vertical="center"/>
    </xf>
    <xf numFmtId="169" fontId="44" fillId="0" borderId="0" xfId="0" applyNumberFormat="1" applyFont="1" applyAlignment="1">
      <alignment horizontal="center" wrapText="1"/>
    </xf>
    <xf numFmtId="0" fontId="24" fillId="0" borderId="5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168" fontId="29" fillId="2" borderId="0" xfId="0" applyNumberFormat="1" applyFont="1" applyFill="1" applyBorder="1" applyAlignment="1">
      <alignment horizontal="center" vertical="center" wrapText="1"/>
    </xf>
    <xf numFmtId="1" fontId="8" fillId="0" borderId="28" xfId="18" applyNumberFormat="1" applyFont="1" applyFill="1" applyBorder="1" applyAlignment="1">
      <alignment horizontal="center" vertical="center" wrapText="1"/>
    </xf>
    <xf numFmtId="1" fontId="8" fillId="0" borderId="47" xfId="18" applyNumberFormat="1" applyFont="1" applyFill="1" applyBorder="1" applyAlignment="1">
      <alignment horizontal="center" vertical="center" wrapText="1"/>
    </xf>
    <xf numFmtId="168" fontId="59" fillId="3" borderId="4" xfId="0" applyNumberFormat="1" applyFont="1" applyFill="1" applyBorder="1" applyAlignment="1">
      <alignment horizontal="center" vertical="center"/>
    </xf>
    <xf numFmtId="1" fontId="25" fillId="0" borderId="37" xfId="20" applyNumberFormat="1" applyFont="1" applyFill="1" applyBorder="1" applyAlignment="1">
      <alignment horizontal="left" vertical="center" wrapText="1"/>
    </xf>
    <xf numFmtId="1" fontId="25" fillId="0" borderId="46" xfId="20" applyNumberFormat="1" applyFont="1" applyFill="1" applyBorder="1" applyAlignment="1">
      <alignment horizontal="left" vertical="center" wrapText="1"/>
    </xf>
    <xf numFmtId="10" fontId="32" fillId="0" borderId="4" xfId="0" applyNumberFormat="1" applyFont="1" applyFill="1" applyBorder="1" applyAlignment="1">
      <alignment horizontal="left" vertical="center" wrapText="1"/>
    </xf>
    <xf numFmtId="1" fontId="5" fillId="0" borderId="37" xfId="20" applyNumberFormat="1" applyFont="1" applyFill="1" applyBorder="1" applyAlignment="1">
      <alignment horizontal="left" vertical="center" wrapText="1"/>
    </xf>
    <xf numFmtId="1" fontId="5" fillId="0" borderId="46" xfId="20" applyNumberFormat="1" applyFont="1" applyFill="1" applyBorder="1" applyAlignment="1">
      <alignment horizontal="left" vertical="center" wrapText="1"/>
    </xf>
    <xf numFmtId="1" fontId="25" fillId="0" borderId="48" xfId="20" applyNumberFormat="1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left"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2" fontId="32" fillId="0" borderId="49" xfId="0" applyNumberFormat="1" applyFont="1" applyFill="1" applyBorder="1" applyAlignment="1">
      <alignment horizontal="center" vertical="center" wrapText="1"/>
    </xf>
    <xf numFmtId="10" fontId="32" fillId="0" borderId="5" xfId="0" applyNumberFormat="1" applyFont="1" applyFill="1" applyBorder="1" applyAlignment="1">
      <alignment horizontal="center" vertical="center" wrapText="1"/>
    </xf>
    <xf numFmtId="10" fontId="32" fillId="0" borderId="11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1" fontId="8" fillId="0" borderId="49" xfId="18" applyNumberFormat="1" applyFont="1" applyFill="1" applyBorder="1" applyAlignment="1">
      <alignment horizontal="center" vertical="center" wrapText="1"/>
    </xf>
    <xf numFmtId="2" fontId="31" fillId="0" borderId="4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9" fontId="23" fillId="3" borderId="4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1" fontId="25" fillId="0" borderId="37" xfId="20" applyNumberFormat="1" applyFont="1" applyFill="1" applyBorder="1" applyAlignment="1">
      <alignment horizontal="center" vertical="center" wrapText="1"/>
    </xf>
    <xf numFmtId="1" fontId="25" fillId="0" borderId="46" xfId="20" applyNumberFormat="1" applyFont="1" applyFill="1" applyBorder="1" applyAlignment="1">
      <alignment horizontal="center" vertical="center" wrapText="1"/>
    </xf>
    <xf numFmtId="10" fontId="31" fillId="0" borderId="4" xfId="0" applyNumberFormat="1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1" fontId="8" fillId="0" borderId="2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>
      <alignment horizontal="center" vertical="center"/>
    </xf>
    <xf numFmtId="3" fontId="24" fillId="3" borderId="23" xfId="0" applyNumberFormat="1" applyFont="1" applyFill="1" applyBorder="1" applyAlignment="1">
      <alignment horizontal="center" vertical="center"/>
    </xf>
    <xf numFmtId="3" fontId="24" fillId="3" borderId="7" xfId="0" applyNumberFormat="1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horizontal="center" vertical="center"/>
    </xf>
    <xf numFmtId="3" fontId="24" fillId="3" borderId="8" xfId="0" applyNumberFormat="1" applyFont="1" applyFill="1" applyBorder="1" applyAlignment="1">
      <alignment horizontal="center" vertical="center"/>
    </xf>
    <xf numFmtId="3" fontId="24" fillId="3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8" fillId="0" borderId="5" xfId="18" applyFont="1" applyFill="1" applyBorder="1" applyAlignment="1">
      <alignment horizontal="center" vertical="center" wrapText="1"/>
    </xf>
    <xf numFmtId="0" fontId="8" fillId="0" borderId="15" xfId="18" applyFont="1" applyFill="1" applyBorder="1" applyAlignment="1">
      <alignment horizontal="center" vertical="center" wrapText="1"/>
    </xf>
    <xf numFmtId="0" fontId="8" fillId="0" borderId="11" xfId="18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9" fillId="0" borderId="5" xfId="18" applyFont="1" applyFill="1" applyBorder="1" applyAlignment="1">
      <alignment horizontal="center" vertical="center" wrapText="1"/>
    </xf>
    <xf numFmtId="0" fontId="9" fillId="0" borderId="15" xfId="18" applyFont="1" applyFill="1" applyBorder="1" applyAlignment="1">
      <alignment horizontal="center" vertical="center" wrapText="1"/>
    </xf>
    <xf numFmtId="0" fontId="9" fillId="0" borderId="11" xfId="1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 wrapText="1"/>
    </xf>
    <xf numFmtId="168" fontId="43" fillId="3" borderId="4" xfId="0" applyNumberFormat="1" applyFont="1" applyFill="1" applyBorder="1" applyAlignment="1">
      <alignment horizontal="center" vertical="center"/>
    </xf>
    <xf numFmtId="1" fontId="25" fillId="0" borderId="50" xfId="20" applyNumberFormat="1" applyFont="1" applyFill="1" applyBorder="1" applyAlignment="1">
      <alignment horizontal="center" vertical="center" wrapText="1"/>
    </xf>
    <xf numFmtId="1" fontId="25" fillId="0" borderId="51" xfId="20" applyNumberFormat="1" applyFont="1" applyFill="1" applyBorder="1" applyAlignment="1">
      <alignment horizontal="center" vertical="center" wrapText="1"/>
    </xf>
    <xf numFmtId="1" fontId="25" fillId="0" borderId="50" xfId="20" applyNumberFormat="1" applyFont="1" applyFill="1" applyBorder="1" applyAlignment="1">
      <alignment horizontal="left" vertical="center" wrapText="1"/>
    </xf>
    <xf numFmtId="1" fontId="25" fillId="0" borderId="51" xfId="20" applyNumberFormat="1" applyFont="1" applyFill="1" applyBorder="1" applyAlignment="1">
      <alignment horizontal="left" vertical="center" wrapText="1"/>
    </xf>
    <xf numFmtId="168" fontId="60" fillId="0" borderId="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2" fontId="12" fillId="0" borderId="4" xfId="18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10" fontId="32" fillId="0" borderId="28" xfId="0" applyNumberFormat="1" applyFont="1" applyFill="1" applyBorder="1" applyAlignment="1">
      <alignment horizontal="center" vertical="center" wrapText="1"/>
    </xf>
    <xf numFmtId="10" fontId="32" fillId="0" borderId="47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top" wrapText="1"/>
    </xf>
    <xf numFmtId="49" fontId="22" fillId="0" borderId="4" xfId="0" applyNumberFormat="1" applyFont="1" applyFill="1" applyBorder="1" applyAlignment="1">
      <alignment horizontal="center" vertical="top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5" fillId="0" borderId="4" xfId="18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2" fontId="12" fillId="0" borderId="4" xfId="18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0" fillId="0" borderId="4" xfId="0" applyFont="1" applyFill="1" applyBorder="1" applyAlignment="1">
      <alignment horizontal="center" vertical="center" wrapText="1"/>
    </xf>
    <xf numFmtId="2" fontId="32" fillId="0" borderId="4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" fontId="25" fillId="0" borderId="52" xfId="20" applyNumberFormat="1" applyFont="1" applyFill="1" applyBorder="1" applyAlignment="1">
      <alignment horizontal="center" vertical="center" wrapText="1"/>
    </xf>
    <xf numFmtId="1" fontId="25" fillId="0" borderId="53" xfId="20" applyNumberFormat="1" applyFont="1" applyFill="1" applyBorder="1" applyAlignment="1">
      <alignment horizontal="center" vertical="center" wrapText="1"/>
    </xf>
    <xf numFmtId="166" fontId="25" fillId="0" borderId="54" xfId="20" applyNumberFormat="1" applyFont="1" applyFill="1" applyBorder="1" applyAlignment="1">
      <alignment horizontal="center" vertical="center" wrapText="1"/>
    </xf>
    <xf numFmtId="166" fontId="25" fillId="0" borderId="55" xfId="20" applyNumberFormat="1" applyFont="1" applyFill="1" applyBorder="1" applyAlignment="1">
      <alignment horizontal="center" vertical="center" wrapText="1"/>
    </xf>
    <xf numFmtId="166" fontId="25" fillId="0" borderId="56" xfId="2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justify" vertical="center" wrapText="1"/>
    </xf>
    <xf numFmtId="1" fontId="25" fillId="0" borderId="57" xfId="20" applyNumberFormat="1" applyFont="1" applyFill="1" applyBorder="1" applyAlignment="1">
      <alignment horizontal="left" vertical="center" wrapText="1"/>
    </xf>
    <xf numFmtId="1" fontId="25" fillId="0" borderId="58" xfId="20" applyNumberFormat="1" applyFont="1" applyFill="1" applyBorder="1" applyAlignment="1">
      <alignment horizontal="left" vertical="center" wrapText="1"/>
    </xf>
    <xf numFmtId="2" fontId="25" fillId="0" borderId="54" xfId="0" applyNumberFormat="1" applyFont="1" applyFill="1" applyBorder="1" applyAlignment="1">
      <alignment horizontal="center" vertical="center" wrapText="1"/>
    </xf>
    <xf numFmtId="2" fontId="25" fillId="0" borderId="55" xfId="0" applyNumberFormat="1" applyFont="1" applyFill="1" applyBorder="1" applyAlignment="1">
      <alignment horizontal="center" vertical="center" wrapText="1"/>
    </xf>
    <xf numFmtId="2" fontId="25" fillId="0" borderId="56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54" xfId="18" applyFont="1" applyFill="1" applyBorder="1" applyAlignment="1">
      <alignment horizontal="center" vertical="center" wrapText="1"/>
    </xf>
    <xf numFmtId="0" fontId="5" fillId="0" borderId="55" xfId="18" applyFont="1" applyFill="1" applyBorder="1" applyAlignment="1">
      <alignment horizontal="center" vertical="center" wrapText="1"/>
    </xf>
    <xf numFmtId="0" fontId="5" fillId="0" borderId="56" xfId="18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left" vertical="center" wrapText="1"/>
    </xf>
    <xf numFmtId="0" fontId="55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9" fillId="2" borderId="5" xfId="0" applyFont="1" applyFill="1" applyBorder="1" applyAlignment="1">
      <alignment horizontal="center"/>
    </xf>
    <xf numFmtId="0" fontId="49" fillId="2" borderId="11" xfId="0" applyFont="1" applyFill="1" applyBorder="1" applyAlignment="1">
      <alignment horizontal="center"/>
    </xf>
  </cellXfs>
  <cellStyles count="25"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4 2" xfId="6" xr:uid="{00000000-0005-0000-0000-000005000000}"/>
    <cellStyle name="Millares 4 2 2" xfId="7" xr:uid="{00000000-0005-0000-0000-000006000000}"/>
    <cellStyle name="Millares 4 3" xfId="8" xr:uid="{00000000-0005-0000-0000-000007000000}"/>
    <cellStyle name="Millares 7" xfId="9" xr:uid="{00000000-0005-0000-0000-000008000000}"/>
    <cellStyle name="Millares 7 2" xfId="10" xr:uid="{00000000-0005-0000-0000-000009000000}"/>
    <cellStyle name="Moneda" xfId="11" builtinId="4"/>
    <cellStyle name="Moneda 10" xfId="12" xr:uid="{00000000-0005-0000-0000-00000B000000}"/>
    <cellStyle name="Moneda 10 2" xfId="13" xr:uid="{00000000-0005-0000-0000-00000C000000}"/>
    <cellStyle name="Moneda 10 2 2" xfId="14" xr:uid="{00000000-0005-0000-0000-00000D000000}"/>
    <cellStyle name="Moneda 10 3" xfId="15" xr:uid="{00000000-0005-0000-0000-00000E000000}"/>
    <cellStyle name="Moneda 2" xfId="16" xr:uid="{00000000-0005-0000-0000-00000F000000}"/>
    <cellStyle name="Moneda 2 2" xfId="17" xr:uid="{00000000-0005-0000-0000-000010000000}"/>
    <cellStyle name="Normal" xfId="0" builtinId="0"/>
    <cellStyle name="Normal 2" xfId="18" xr:uid="{00000000-0005-0000-0000-000012000000}"/>
    <cellStyle name="Normal 3" xfId="19" xr:uid="{00000000-0005-0000-0000-000013000000}"/>
    <cellStyle name="Porcentaje" xfId="20" builtinId="5"/>
    <cellStyle name="Porcentual 11" xfId="21" xr:uid="{00000000-0005-0000-0000-000015000000}"/>
    <cellStyle name="Porcentual 11 2" xfId="22" xr:uid="{00000000-0005-0000-0000-000016000000}"/>
    <cellStyle name="Porcentual 11 2 2" xfId="23" xr:uid="{00000000-0005-0000-0000-000017000000}"/>
    <cellStyle name="Porcentual 11 3" xfId="24" xr:uid="{00000000-0005-0000-0000-00001800000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FD7E792-F019-4C67-8554-D4CBE685E2F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19050</xdr:rowOff>
    </xdr:to>
    <xdr:sp macro="" textlink="">
      <xdr:nvSpPr>
        <xdr:cNvPr id="1500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2705F2F-109C-43B6-82D4-1CB1480E4E7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4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DDD8146-9A9F-4F76-B570-578058353AC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75EAD2A-C46A-4F74-8B2B-89726BF806BF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F60C1E6-7F6A-46B3-B08F-605C6ED208E0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95C38A8-F058-4F86-8A5D-819EE939797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285750</xdr:rowOff>
    </xdr:to>
    <xdr:sp macro="" textlink="">
      <xdr:nvSpPr>
        <xdr:cNvPr id="1500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950E2AD-3B7C-497B-8220-6366B5325C72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CB182BD-2412-4AF6-BBB2-BC2AA626EF52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0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421FF45-4626-4722-98B9-2FEE4B77488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2EC5397-17B5-45FC-B122-F65E78AD9E5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77EA6EB-87D8-4A2E-BD0E-C7046ED6A0D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6782C37-F890-4F1F-A3B5-ED5FF3343AA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0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512C79E-E56D-4F94-A947-14C3CB0E516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107</xdr:row>
      <xdr:rowOff>171449</xdr:rowOff>
    </xdr:to>
    <xdr:sp macro="" textlink="">
      <xdr:nvSpPr>
        <xdr:cNvPr id="1500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8247239-E5F1-4C2B-AD30-34F0F051F07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67A1694-A880-4911-8758-52FD555D1A8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C5138E6-CA6B-4733-9346-1F2C531D288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53ABAFE-1E26-4FE1-AEA7-94D09CE273C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161924</xdr:rowOff>
    </xdr:to>
    <xdr:sp macro="" textlink="">
      <xdr:nvSpPr>
        <xdr:cNvPr id="1500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EAF7082-55B3-4EB6-8C83-D9F64C79572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1D0497-2535-42BB-B24D-E4B847F362D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7F9F1C7-DC31-40D2-9AF1-1F55938231C9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C0CE72C-EB27-4CC8-B276-CF7EEF9EC39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190499</xdr:rowOff>
    </xdr:to>
    <xdr:sp macro="" textlink="">
      <xdr:nvSpPr>
        <xdr:cNvPr id="1501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E426A1A-9FCB-4601-ADF7-CEB668B12E2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400050</xdr:rowOff>
    </xdr:to>
    <xdr:sp macro="" textlink="">
      <xdr:nvSpPr>
        <xdr:cNvPr id="1501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1E060D5-424A-4939-8CD5-6BB94470029D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E8177AF-7A60-42CC-AF6A-FBD1ADFE2CF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123824</xdr:rowOff>
    </xdr:to>
    <xdr:sp macro="" textlink="">
      <xdr:nvSpPr>
        <xdr:cNvPr id="1501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C760F59-CD94-4705-A904-7B9CFF5AF190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921C5A0-FF90-4DA9-A9BB-26E19FA7F2E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85400C0-52E3-4F5B-B5BD-43D0D448826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133349</xdr:rowOff>
    </xdr:to>
    <xdr:sp macro="" textlink="">
      <xdr:nvSpPr>
        <xdr:cNvPr id="1501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E202F3F-6E29-4050-8F07-12A069EB589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7F98DE7-7770-458B-948E-7568040FB06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7E99EB-D9ED-4447-8E7C-DB64E045360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08881F4-1479-4667-A59D-D7319261D9A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38099</xdr:rowOff>
    </xdr:to>
    <xdr:sp macro="" textlink="">
      <xdr:nvSpPr>
        <xdr:cNvPr id="1501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00DB142-A639-4EE6-8CF6-6F2CDA1C361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66674</xdr:rowOff>
    </xdr:to>
    <xdr:sp macro="" textlink="">
      <xdr:nvSpPr>
        <xdr:cNvPr id="1501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F1C83A-541E-4661-9CD4-4E45F80508D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DA20DF7-16C7-4432-A728-F650BCECD2C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108</xdr:row>
      <xdr:rowOff>85724</xdr:rowOff>
    </xdr:to>
    <xdr:sp macro="" textlink="">
      <xdr:nvSpPr>
        <xdr:cNvPr id="1501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64FDF54-2FDF-4256-B455-8125264132F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123824</xdr:rowOff>
    </xdr:to>
    <xdr:sp macro="" textlink="">
      <xdr:nvSpPr>
        <xdr:cNvPr id="1501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BCE4C0C-C794-46A4-867C-0A4012DAC95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A975C28-F3DA-4290-B72A-7E72E792E12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33B7AB3-7280-4B4C-93E8-484C9F8709D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50511DE-AAAC-4F15-A994-B89B1668AEC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66674</xdr:rowOff>
    </xdr:to>
    <xdr:sp macro="" textlink="">
      <xdr:nvSpPr>
        <xdr:cNvPr id="1501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FF9D2A9-2FED-4391-95B5-8FCA018F27D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0BDCDF7-D003-4766-8D52-8520738ECC3D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4B0222B-14D0-4B7B-8CF6-415D46AB2C7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2E6BAA8-44AA-4EB5-87D8-7B41A421E5B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1E8A58-07FB-4C73-A3C9-433080F00531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67040F0-EA14-4AEB-94F0-A02AA3E92E7C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2D7FAE5-C3EF-4DCC-B65F-1FBD6C3F2F97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352425</xdr:rowOff>
    </xdr:to>
    <xdr:sp macro="" textlink="">
      <xdr:nvSpPr>
        <xdr:cNvPr id="1501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1E088B5-F94D-4A1F-ABA7-C6CD6A111906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352425</xdr:rowOff>
    </xdr:to>
    <xdr:sp macro="" textlink="">
      <xdr:nvSpPr>
        <xdr:cNvPr id="1501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6B1B1B7-C0D4-4DC2-9E37-747E73DDD9D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352425</xdr:rowOff>
    </xdr:to>
    <xdr:sp macro="" textlink="">
      <xdr:nvSpPr>
        <xdr:cNvPr id="1501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64A2808-43DD-4CCA-958E-3BF775D1EE45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352425</xdr:rowOff>
    </xdr:to>
    <xdr:sp macro="" textlink="">
      <xdr:nvSpPr>
        <xdr:cNvPr id="1501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8F8D29C-329E-4FA8-9D3C-9F31C7DD1908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352425</xdr:rowOff>
    </xdr:to>
    <xdr:sp macro="" textlink="">
      <xdr:nvSpPr>
        <xdr:cNvPr id="1501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FC34507-BC6A-4D67-8000-C284658F2553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352425</xdr:rowOff>
    </xdr:to>
    <xdr:sp macro="" textlink="">
      <xdr:nvSpPr>
        <xdr:cNvPr id="1501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0F2BB8A-F3E3-4A35-B3CD-FFFB209D836B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352425</xdr:rowOff>
    </xdr:to>
    <xdr:sp macro="" textlink="">
      <xdr:nvSpPr>
        <xdr:cNvPr id="1501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3AFF863-9FBB-491A-BE32-970B8D82C767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352425</xdr:rowOff>
    </xdr:to>
    <xdr:sp macro="" textlink="">
      <xdr:nvSpPr>
        <xdr:cNvPr id="15013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4D79FF9-F9C5-45A5-8273-F2F4E6D95778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352425</xdr:rowOff>
    </xdr:to>
    <xdr:sp macro="" textlink="">
      <xdr:nvSpPr>
        <xdr:cNvPr id="15013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023317E-D014-4623-9C99-70A8191AE66A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352425</xdr:rowOff>
    </xdr:to>
    <xdr:sp macro="" textlink="">
      <xdr:nvSpPr>
        <xdr:cNvPr id="15013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E920B12-D6DC-4ABC-BFD8-10D792FECC97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352425</xdr:rowOff>
    </xdr:to>
    <xdr:sp macro="" textlink="">
      <xdr:nvSpPr>
        <xdr:cNvPr id="15013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F2165C0-5606-41AA-896F-F9AA26A2734F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352425</xdr:rowOff>
    </xdr:to>
    <xdr:sp macro="" textlink="">
      <xdr:nvSpPr>
        <xdr:cNvPr id="15014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0E18F79-6FA7-4AC6-8C95-E11F64D2311A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109</xdr:row>
      <xdr:rowOff>123824</xdr:rowOff>
    </xdr:to>
    <xdr:sp macro="" textlink="">
      <xdr:nvSpPr>
        <xdr:cNvPr id="15014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AA3E676-2BF9-42EC-A1CC-54D1791FA3A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109</xdr:row>
      <xdr:rowOff>123824</xdr:rowOff>
    </xdr:to>
    <xdr:sp macro="" textlink="">
      <xdr:nvSpPr>
        <xdr:cNvPr id="15014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5EBD272-59B1-416C-9A69-E8154F453A97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109</xdr:row>
      <xdr:rowOff>123824</xdr:rowOff>
    </xdr:to>
    <xdr:sp macro="" textlink="">
      <xdr:nvSpPr>
        <xdr:cNvPr id="15014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D42203B-EECF-4E10-9276-8CF975BFE53A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109</xdr:row>
      <xdr:rowOff>123824</xdr:rowOff>
    </xdr:to>
    <xdr:sp macro="" textlink="">
      <xdr:nvSpPr>
        <xdr:cNvPr id="15014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9751B13-CF7B-48E6-886D-C17CAFE24EC0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109</xdr:row>
      <xdr:rowOff>123824</xdr:rowOff>
    </xdr:to>
    <xdr:sp macro="" textlink="">
      <xdr:nvSpPr>
        <xdr:cNvPr id="15014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42E28C6-F89F-434E-B543-06E8FCE2C673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109</xdr:row>
      <xdr:rowOff>123824</xdr:rowOff>
    </xdr:to>
    <xdr:sp macro="" textlink="">
      <xdr:nvSpPr>
        <xdr:cNvPr id="15014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C80D60-CECB-48A3-B08E-7B645BF5E1D4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109</xdr:row>
      <xdr:rowOff>123824</xdr:rowOff>
    </xdr:to>
    <xdr:sp macro="" textlink="">
      <xdr:nvSpPr>
        <xdr:cNvPr id="15014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A4FACB5-5A15-4CCC-B459-8D34EE14BA6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109</xdr:row>
      <xdr:rowOff>123824</xdr:rowOff>
    </xdr:to>
    <xdr:sp macro="" textlink="">
      <xdr:nvSpPr>
        <xdr:cNvPr id="15014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875078B-7070-4CE0-8849-E82B4B69273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1704975</xdr:colOff>
      <xdr:row>126</xdr:row>
      <xdr:rowOff>342900</xdr:rowOff>
    </xdr:from>
    <xdr:to>
      <xdr:col>18</xdr:col>
      <xdr:colOff>304800</xdr:colOff>
      <xdr:row>127</xdr:row>
      <xdr:rowOff>704849</xdr:rowOff>
    </xdr:to>
    <xdr:sp macro="" textlink="">
      <xdr:nvSpPr>
        <xdr:cNvPr id="15014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61B7F57-F060-47DC-AF10-3B49B74AD50F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84181950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109</xdr:row>
      <xdr:rowOff>123824</xdr:rowOff>
    </xdr:to>
    <xdr:sp macro="" textlink="">
      <xdr:nvSpPr>
        <xdr:cNvPr id="15015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F8C18-41D7-467E-9602-B54E39D08F78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5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302825E-DAD3-412F-872B-858131827961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5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5FE3166-CCC8-41DF-928C-6E44EDAD60D5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109</xdr:row>
      <xdr:rowOff>123824</xdr:rowOff>
    </xdr:to>
    <xdr:sp macro="" textlink="">
      <xdr:nvSpPr>
        <xdr:cNvPr id="15015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BC22BD0-D6FF-4E54-8AC3-6B6D06EBD79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109</xdr:row>
      <xdr:rowOff>123824</xdr:rowOff>
    </xdr:to>
    <xdr:sp macro="" textlink="">
      <xdr:nvSpPr>
        <xdr:cNvPr id="15015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3FDB9B9-6B6D-4BB3-B247-EF5B9F5A468A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109</xdr:row>
      <xdr:rowOff>123824</xdr:rowOff>
    </xdr:to>
    <xdr:sp macro="" textlink="">
      <xdr:nvSpPr>
        <xdr:cNvPr id="15015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DB49F3E-A50E-4F1F-AB5E-6153964FE963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109</xdr:row>
      <xdr:rowOff>123824</xdr:rowOff>
    </xdr:to>
    <xdr:sp macro="" textlink="">
      <xdr:nvSpPr>
        <xdr:cNvPr id="15015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1D8FBDB-8BBD-442E-A2E5-CA538C9BA42F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109</xdr:row>
      <xdr:rowOff>123824</xdr:rowOff>
    </xdr:to>
    <xdr:sp macro="" textlink="">
      <xdr:nvSpPr>
        <xdr:cNvPr id="15015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7D878FD-977E-4102-A587-C11693755BC9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109</xdr:row>
      <xdr:rowOff>123824</xdr:rowOff>
    </xdr:to>
    <xdr:sp macro="" textlink="">
      <xdr:nvSpPr>
        <xdr:cNvPr id="15015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53C2AFD-D32D-4CBC-9423-1E823D39FD94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109</xdr:row>
      <xdr:rowOff>123824</xdr:rowOff>
    </xdr:to>
    <xdr:sp macro="" textlink="">
      <xdr:nvSpPr>
        <xdr:cNvPr id="15015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5816128-A2BA-42E7-A392-5BD21AAA8118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109</xdr:row>
      <xdr:rowOff>123824</xdr:rowOff>
    </xdr:to>
    <xdr:sp macro="" textlink="">
      <xdr:nvSpPr>
        <xdr:cNvPr id="15016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71C0D5A-E048-4639-9628-C1CAF89D46D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771525</xdr:colOff>
      <xdr:row>123</xdr:row>
      <xdr:rowOff>9525</xdr:rowOff>
    </xdr:from>
    <xdr:to>
      <xdr:col>18</xdr:col>
      <xdr:colOff>304800</xdr:colOff>
      <xdr:row>125</xdr:row>
      <xdr:rowOff>361950</xdr:rowOff>
    </xdr:to>
    <xdr:sp macro="" textlink="">
      <xdr:nvSpPr>
        <xdr:cNvPr id="15016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E81B5A5-09AA-4D33-8A9C-8F79BD786F0F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82267425"/>
          <a:ext cx="304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109</xdr:row>
      <xdr:rowOff>123824</xdr:rowOff>
    </xdr:to>
    <xdr:sp macro="" textlink="">
      <xdr:nvSpPr>
        <xdr:cNvPr id="15016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F3C848A-120C-405A-A5F1-295FDE86854E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109</xdr:row>
      <xdr:rowOff>123824</xdr:rowOff>
    </xdr:to>
    <xdr:sp macro="" textlink="">
      <xdr:nvSpPr>
        <xdr:cNvPr id="15016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7280E03-58F7-49E2-954A-EC487A673E61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6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4B0C460-7296-4711-A36D-2B00002CECF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6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7BF2441-3A5F-40AA-A96C-8C31CCE6C66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6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4A530F5-1A58-4F03-9D11-A9027FC34D8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6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82E4C7D-636E-4B43-B1DB-01632C488C2F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6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2C9BED-55DE-4029-880D-3219F3FF706B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6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4435F80-A5DE-47BE-8174-36DFBD192EA1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7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34B4C0C-5088-493B-9C3C-FAD3427978D5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7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E4DC084-6FD4-4671-8A48-1CDF9DFD4F20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7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BF2C503-DCE4-408A-ADE4-AF9F2DC24BEC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7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52DC566-6D0B-4127-9758-3E4439A74F88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7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411AC08-2798-4A47-9B70-EF3DC876C38A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7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82E4B9E-EF3D-40F3-894B-D085B32A439E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7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F95AEA9-4C2F-4CB5-BACC-742F48D7CE78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17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F1C1F5B-FE3B-46E9-B25D-35E0BF8D6FFB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17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EA7417A-9997-44D4-8D16-B806A0BC62CE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17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C09863B-4EBB-47F8-95F5-FF1CBF7A7E91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18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FC545CC-6B08-4184-9373-AF89BF89A72D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1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39B53E-1C52-4429-BAC3-442CE16E0797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1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67663D0-7D01-4106-B702-D0EDFA1C6F2C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1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8A586C1-6010-40FC-B9D7-13F630B98DAD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1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5A86355F-AE11-4E86-93A2-D91043052D51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1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DE968BC9-B80D-4805-A32E-472BF984D736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1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6AAB29A-5BF5-44BA-9BE9-58C6B4A84E68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409575</xdr:rowOff>
    </xdr:to>
    <xdr:sp macro="" textlink="">
      <xdr:nvSpPr>
        <xdr:cNvPr id="1501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934A082-AF44-4AEB-9A7E-10899AF10F0F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106</xdr:row>
      <xdr:rowOff>285750</xdr:rowOff>
    </xdr:to>
    <xdr:sp macro="" textlink="">
      <xdr:nvSpPr>
        <xdr:cNvPr id="1501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F6BCBB2-670B-461D-867B-1B34BC5E586B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1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BB07201-C417-4E77-A928-4004DE9A691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285750</xdr:rowOff>
    </xdr:to>
    <xdr:sp macro="" textlink="">
      <xdr:nvSpPr>
        <xdr:cNvPr id="1501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93EFC88-2C7B-451F-BB7F-5DE7F632D7C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1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EAACD26-05BA-4571-A4E2-EC8A93B92D9E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285750</xdr:rowOff>
    </xdr:to>
    <xdr:sp macro="" textlink="">
      <xdr:nvSpPr>
        <xdr:cNvPr id="1501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AF6429-4159-4830-9C02-17CB302DAEDA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1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A3114B8-7A44-4696-8B0E-F9B9F6DD8A49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285750</xdr:rowOff>
    </xdr:to>
    <xdr:sp macro="" textlink="">
      <xdr:nvSpPr>
        <xdr:cNvPr id="15019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45BF9DA-4358-4FAB-936D-A7863286240F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1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401242A-7F28-4674-AF66-EFD57308696D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285750</xdr:rowOff>
    </xdr:to>
    <xdr:sp macro="" textlink="">
      <xdr:nvSpPr>
        <xdr:cNvPr id="1501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40015F8-6049-4176-8A72-F46A43FB2C3D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1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A7C292B-C597-47F2-A25C-F8FC10531E64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285750</xdr:rowOff>
    </xdr:to>
    <xdr:sp macro="" textlink="">
      <xdr:nvSpPr>
        <xdr:cNvPr id="1501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8DAD555-3826-4AA2-9339-C6BC7C9D69D7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1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2164AC3-03C8-4EEF-A246-C93C7F8BDD9E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285750</xdr:rowOff>
    </xdr:to>
    <xdr:sp macro="" textlink="">
      <xdr:nvSpPr>
        <xdr:cNvPr id="1502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1A44FE8-14EC-4166-B69C-032F3BE1C758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734E0FA8-E52B-45A8-89E7-86110F2D1561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285750</xdr:rowOff>
    </xdr:to>
    <xdr:sp macro="" textlink="">
      <xdr:nvSpPr>
        <xdr:cNvPr id="1502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A1665338-5FC6-4165-AF04-12872E97DD4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2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615587B-26FC-439A-AA40-58AEB4EDA921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285750</xdr:rowOff>
    </xdr:to>
    <xdr:sp macro="" textlink="">
      <xdr:nvSpPr>
        <xdr:cNvPr id="1502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157DF0D-B242-41FD-AAB5-4BE470244BC6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2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C679E5-64F1-42B2-B606-94E8FE79150B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285750</xdr:rowOff>
    </xdr:to>
    <xdr:sp macro="" textlink="">
      <xdr:nvSpPr>
        <xdr:cNvPr id="1502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0A6FF3-D166-44D3-B73A-6C0032453510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2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6886C85-6022-49B7-898F-F862067ECFF1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285750</xdr:rowOff>
    </xdr:to>
    <xdr:sp macro="" textlink="">
      <xdr:nvSpPr>
        <xdr:cNvPr id="1502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8C865A9-FC19-4C9D-B376-9A2E811012BE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2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819C35D-3838-4380-852A-06D4DAD9DE72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285750</xdr:rowOff>
    </xdr:to>
    <xdr:sp macro="" textlink="">
      <xdr:nvSpPr>
        <xdr:cNvPr id="1502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E7D54A8-E07E-4569-BCCD-5F6D823C9D60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B6995F5-8227-4D0D-9297-E8D636E3CE3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2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A6989FF-5CA5-4595-B804-0CE0845D2228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2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8D87297-E360-4EA2-852D-8CC1F4099390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2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92FD09D-8548-4FC2-9CF7-556C4CF4170A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2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D7A51ED-C048-49C2-8BA2-C74B6B2F76E1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2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1875BD3-D453-4E23-9D51-17479A9810F3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43705AB-9FA2-4511-85D4-74B2C064CAFF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304800</xdr:colOff>
      <xdr:row>106</xdr:row>
      <xdr:rowOff>409575</xdr:rowOff>
    </xdr:to>
    <xdr:sp macro="" textlink="">
      <xdr:nvSpPr>
        <xdr:cNvPr id="1502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8CAF55F8-DE08-416C-ACB5-D90A7D13607B}"/>
            </a:ext>
          </a:extLst>
        </xdr:cNvPr>
        <xdr:cNvSpPr>
          <a:spLocks noChangeAspect="1" noChangeArrowheads="1"/>
        </xdr:cNvSpPr>
      </xdr:nvSpPr>
      <xdr:spPr bwMode="auto">
        <a:xfrm>
          <a:off x="184594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304800</xdr:colOff>
      <xdr:row>106</xdr:row>
      <xdr:rowOff>409575</xdr:rowOff>
    </xdr:to>
    <xdr:sp macro="" textlink="">
      <xdr:nvSpPr>
        <xdr:cNvPr id="1502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50F00F6-27BC-4600-8E8B-E0FA55284AAF}"/>
            </a:ext>
          </a:extLst>
        </xdr:cNvPr>
        <xdr:cNvSpPr>
          <a:spLocks noChangeAspect="1" noChangeArrowheads="1"/>
        </xdr:cNvSpPr>
      </xdr:nvSpPr>
      <xdr:spPr bwMode="auto">
        <a:xfrm>
          <a:off x="193643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304800</xdr:colOff>
      <xdr:row>106</xdr:row>
      <xdr:rowOff>409575</xdr:rowOff>
    </xdr:to>
    <xdr:sp macro="" textlink="">
      <xdr:nvSpPr>
        <xdr:cNvPr id="1502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9F46D4-B1A5-48DA-AF4D-4CF32EDF6684}"/>
            </a:ext>
          </a:extLst>
        </xdr:cNvPr>
        <xdr:cNvSpPr>
          <a:spLocks noChangeAspect="1" noChangeArrowheads="1"/>
        </xdr:cNvSpPr>
      </xdr:nvSpPr>
      <xdr:spPr bwMode="auto">
        <a:xfrm>
          <a:off x="20678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304800</xdr:colOff>
      <xdr:row>106</xdr:row>
      <xdr:rowOff>409575</xdr:rowOff>
    </xdr:to>
    <xdr:sp macro="" textlink="">
      <xdr:nvSpPr>
        <xdr:cNvPr id="1502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90387E3-CFAB-4027-87FA-ABF047A96033}"/>
            </a:ext>
          </a:extLst>
        </xdr:cNvPr>
        <xdr:cNvSpPr>
          <a:spLocks noChangeAspect="1" noChangeArrowheads="1"/>
        </xdr:cNvSpPr>
      </xdr:nvSpPr>
      <xdr:spPr bwMode="auto">
        <a:xfrm>
          <a:off x="214026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109</xdr:row>
      <xdr:rowOff>9524</xdr:rowOff>
    </xdr:to>
    <xdr:sp macro="" textlink="">
      <xdr:nvSpPr>
        <xdr:cNvPr id="1502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14B8A2E-722F-4EE6-A5B8-576BAF17E233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DA06181-7D7E-4591-9E0B-0C456ED7EC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304800</xdr:colOff>
      <xdr:row>106</xdr:row>
      <xdr:rowOff>409575</xdr:rowOff>
    </xdr:to>
    <xdr:sp macro="" textlink="">
      <xdr:nvSpPr>
        <xdr:cNvPr id="1502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4DF10613-F09C-4FD6-858E-CF04C5CE14AB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304800</xdr:colOff>
      <xdr:row>106</xdr:row>
      <xdr:rowOff>409575</xdr:rowOff>
    </xdr:to>
    <xdr:sp macro="" textlink="">
      <xdr:nvSpPr>
        <xdr:cNvPr id="1502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F5EF779-AB0D-4D57-A85D-9C9047718363}"/>
            </a:ext>
          </a:extLst>
        </xdr:cNvPr>
        <xdr:cNvSpPr>
          <a:spLocks noChangeAspect="1" noChangeArrowheads="1"/>
        </xdr:cNvSpPr>
      </xdr:nvSpPr>
      <xdr:spPr bwMode="auto">
        <a:xfrm>
          <a:off x="1390650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11</xdr:col>
      <xdr:colOff>304800</xdr:colOff>
      <xdr:row>106</xdr:row>
      <xdr:rowOff>409575</xdr:rowOff>
    </xdr:to>
    <xdr:sp macro="" textlink="">
      <xdr:nvSpPr>
        <xdr:cNvPr id="1502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9E7B0053-3DE5-468C-A95D-EA06204F2B44}"/>
            </a:ext>
          </a:extLst>
        </xdr:cNvPr>
        <xdr:cNvSpPr>
          <a:spLocks noChangeAspect="1" noChangeArrowheads="1"/>
        </xdr:cNvSpPr>
      </xdr:nvSpPr>
      <xdr:spPr bwMode="auto">
        <a:xfrm>
          <a:off x="144970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12</xdr:col>
      <xdr:colOff>304800</xdr:colOff>
      <xdr:row>106</xdr:row>
      <xdr:rowOff>409575</xdr:rowOff>
    </xdr:to>
    <xdr:sp macro="" textlink="">
      <xdr:nvSpPr>
        <xdr:cNvPr id="1502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213C77E6-1C42-4D32-8786-6A25B23CAAEE}"/>
            </a:ext>
          </a:extLst>
        </xdr:cNvPr>
        <xdr:cNvSpPr>
          <a:spLocks noChangeAspect="1" noChangeArrowheads="1"/>
        </xdr:cNvSpPr>
      </xdr:nvSpPr>
      <xdr:spPr bwMode="auto">
        <a:xfrm>
          <a:off x="15449550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13</xdr:col>
      <xdr:colOff>304800</xdr:colOff>
      <xdr:row>106</xdr:row>
      <xdr:rowOff>409575</xdr:rowOff>
    </xdr:to>
    <xdr:sp macro="" textlink="">
      <xdr:nvSpPr>
        <xdr:cNvPr id="1502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BA68F2AE-025B-494C-B8D1-71FDB4435A0D}"/>
            </a:ext>
          </a:extLst>
        </xdr:cNvPr>
        <xdr:cNvSpPr>
          <a:spLocks noChangeAspect="1" noChangeArrowheads="1"/>
        </xdr:cNvSpPr>
      </xdr:nvSpPr>
      <xdr:spPr bwMode="auto">
        <a:xfrm>
          <a:off x="1635442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106</xdr:row>
      <xdr:rowOff>0</xdr:rowOff>
    </xdr:from>
    <xdr:to>
      <xdr:col>14</xdr:col>
      <xdr:colOff>304800</xdr:colOff>
      <xdr:row>106</xdr:row>
      <xdr:rowOff>409575</xdr:rowOff>
    </xdr:to>
    <xdr:sp macro="" textlink="">
      <xdr:nvSpPr>
        <xdr:cNvPr id="1502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EC55889-9141-4563-8F0A-67157781E5DD}"/>
            </a:ext>
          </a:extLst>
        </xdr:cNvPr>
        <xdr:cNvSpPr>
          <a:spLocks noChangeAspect="1" noChangeArrowheads="1"/>
        </xdr:cNvSpPr>
      </xdr:nvSpPr>
      <xdr:spPr bwMode="auto">
        <a:xfrm>
          <a:off x="17554575" y="75390375"/>
          <a:ext cx="304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E74E753D-0DF4-4D2B-8047-1D49825FACFE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304800</xdr:colOff>
      <xdr:row>106</xdr:row>
      <xdr:rowOff>409575</xdr:rowOff>
    </xdr:to>
    <xdr:sp macro="" textlink="">
      <xdr:nvSpPr>
        <xdr:cNvPr id="1502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C84C00AA-D074-425C-ABF1-83F261B1E81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5390375"/>
          <a:ext cx="304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19E53EF2-E1FA-4730-949D-E4A9020F9018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6138AFB7-DC30-417D-BFCB-7AAAB590A185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FD5C3239-8A09-4825-98A6-4942170B34A4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304800</xdr:colOff>
      <xdr:row>107</xdr:row>
      <xdr:rowOff>238124</xdr:rowOff>
    </xdr:to>
    <xdr:sp macro="" textlink="">
      <xdr:nvSpPr>
        <xdr:cNvPr id="1502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3E0F3D42-7326-46BA-A17E-C24AD0563D4A}"/>
            </a:ext>
          </a:extLst>
        </xdr:cNvPr>
        <xdr:cNvSpPr>
          <a:spLocks noChangeAspect="1" noChangeArrowheads="1"/>
        </xdr:cNvSpPr>
      </xdr:nvSpPr>
      <xdr:spPr bwMode="auto">
        <a:xfrm>
          <a:off x="11706225" y="753903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904875</xdr:colOff>
      <xdr:row>0</xdr:row>
      <xdr:rowOff>9525</xdr:rowOff>
    </xdr:from>
    <xdr:to>
      <xdr:col>38</xdr:col>
      <xdr:colOff>514350</xdr:colOff>
      <xdr:row>3</xdr:row>
      <xdr:rowOff>76200</xdr:rowOff>
    </xdr:to>
    <xdr:pic>
      <xdr:nvPicPr>
        <xdr:cNvPr id="150236" name="157 Imagen" descr="Descripción: C:\Users\MIdrovo\AppData\Local\Temp\Logotipo MI 2012.png">
          <a:extLst>
            <a:ext uri="{FF2B5EF4-FFF2-40B4-BE49-F238E27FC236}">
              <a16:creationId xmlns:a16="http://schemas.microsoft.com/office/drawing/2014/main" id="{5641254E-67EC-4EFB-8168-C91254B7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2425" y="9525"/>
          <a:ext cx="2943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1352550</xdr:colOff>
      <xdr:row>2</xdr:row>
      <xdr:rowOff>381000</xdr:rowOff>
    </xdr:to>
    <xdr:sp macro="" textlink="">
      <xdr:nvSpPr>
        <xdr:cNvPr id="160" name="1 Rectángulo">
          <a:extLst>
            <a:ext uri="{FF2B5EF4-FFF2-40B4-BE49-F238E27FC236}">
              <a16:creationId xmlns:a16="http://schemas.microsoft.com/office/drawing/2014/main" id="{B86184EA-2C95-4484-B010-9B1809F7C2DD}"/>
            </a:ext>
          </a:extLst>
        </xdr:cNvPr>
        <xdr:cNvSpPr/>
      </xdr:nvSpPr>
      <xdr:spPr>
        <a:xfrm>
          <a:off x="7048500" y="190500"/>
          <a:ext cx="1352550" cy="381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C" sz="1200">
              <a:effectLst/>
              <a:latin typeface="Arial Black"/>
              <a:ea typeface="Calibri"/>
              <a:cs typeface="Times New Roman"/>
            </a:rPr>
            <a:t>Anexo 2</a:t>
          </a:r>
          <a:endParaRPr lang="es-EC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2</xdr:col>
      <xdr:colOff>1143000</xdr:colOff>
      <xdr:row>107</xdr:row>
      <xdr:rowOff>20412</xdr:rowOff>
    </xdr:from>
    <xdr:to>
      <xdr:col>4</xdr:col>
      <xdr:colOff>219075</xdr:colOff>
      <xdr:row>110</xdr:row>
      <xdr:rowOff>29938</xdr:rowOff>
    </xdr:to>
    <xdr:pic>
      <xdr:nvPicPr>
        <xdr:cNvPr id="150238" name="Imagen 16">
          <a:extLst>
            <a:ext uri="{FF2B5EF4-FFF2-40B4-BE49-F238E27FC236}">
              <a16:creationId xmlns:a16="http://schemas.microsoft.com/office/drawing/2014/main" id="{77C51446-5823-4763-8569-CBA68A96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29" y="79105126"/>
          <a:ext cx="2464253" cy="689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1104900</xdr:colOff>
      <xdr:row>117</xdr:row>
      <xdr:rowOff>0</xdr:rowOff>
    </xdr:from>
    <xdr:to>
      <xdr:col>4</xdr:col>
      <xdr:colOff>209550</xdr:colOff>
      <xdr:row>120</xdr:row>
      <xdr:rowOff>295275</xdr:rowOff>
    </xdr:to>
    <xdr:pic>
      <xdr:nvPicPr>
        <xdr:cNvPr id="150239" name="Imagen 162">
          <a:extLst>
            <a:ext uri="{FF2B5EF4-FFF2-40B4-BE49-F238E27FC236}">
              <a16:creationId xmlns:a16="http://schemas.microsoft.com/office/drawing/2014/main" id="{F9787CE1-9EA1-4EBC-8FA8-9C4AE45F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80933925"/>
          <a:ext cx="24955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AppData/AppData/Local/AppData/POA.%202019/DIRECTRICES%202019/CLASIFICADOR%20GASTOS.%202019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26"/>
  <sheetViews>
    <sheetView tabSelected="1" topLeftCell="AB97" zoomScale="60" zoomScaleNormal="60" workbookViewId="0">
      <selection activeCell="AH109" sqref="AH109"/>
    </sheetView>
  </sheetViews>
  <sheetFormatPr baseColWidth="10" defaultRowHeight="14.25"/>
  <cols>
    <col min="1" max="1" width="19.42578125" style="1" customWidth="1"/>
    <col min="2" max="2" width="15.7109375" style="1" customWidth="1"/>
    <col min="3" max="3" width="20" style="1" customWidth="1"/>
    <col min="4" max="4" width="30.85546875" style="1" customWidth="1"/>
    <col min="5" max="5" width="29.5703125" style="1" customWidth="1"/>
    <col min="6" max="6" width="42" style="1" customWidth="1"/>
    <col min="7" max="7" width="18" style="1" customWidth="1"/>
    <col min="8" max="8" width="8.85546875" style="1" customWidth="1"/>
    <col min="9" max="9" width="15.28515625" style="68" customWidth="1"/>
    <col min="10" max="11" width="8.85546875" style="68" customWidth="1"/>
    <col min="12" max="12" width="14.28515625" style="42" customWidth="1"/>
    <col min="13" max="13" width="13.5703125" style="42" customWidth="1"/>
    <col min="14" max="14" width="18" style="42" customWidth="1"/>
    <col min="15" max="16" width="13.5703125" style="42" customWidth="1"/>
    <col min="17" max="17" width="19.7109375" style="42" customWidth="1"/>
    <col min="18" max="19" width="10.85546875" style="42" customWidth="1"/>
    <col min="20" max="20" width="15.85546875" style="44" customWidth="1"/>
    <col min="21" max="21" width="19.85546875" style="43" customWidth="1"/>
    <col min="22" max="22" width="21.85546875" style="1" customWidth="1"/>
    <col min="23" max="23" width="11.28515625" style="1" customWidth="1"/>
    <col min="24" max="24" width="24.7109375" style="43" customWidth="1"/>
    <col min="25" max="25" width="26.5703125" style="44" bestFit="1" customWidth="1"/>
    <col min="26" max="26" width="18.7109375" style="44" customWidth="1"/>
    <col min="27" max="27" width="21.28515625" style="44" customWidth="1"/>
    <col min="28" max="32" width="17.42578125" style="44" customWidth="1"/>
    <col min="33" max="33" width="20.42578125" style="44" customWidth="1"/>
    <col min="34" max="34" width="16" style="1" customWidth="1"/>
    <col min="35" max="35" width="13.85546875" style="1" customWidth="1"/>
    <col min="36" max="36" width="18.7109375" style="42" customWidth="1"/>
    <col min="37" max="37" width="15" style="42" customWidth="1"/>
    <col min="38" max="38" width="16.28515625" style="42" customWidth="1"/>
    <col min="39" max="39" width="18" style="42" customWidth="1"/>
    <col min="40" max="40" width="27.140625" style="42" customWidth="1"/>
    <col min="41" max="41" width="15.5703125" style="42" bestFit="1" customWidth="1"/>
    <col min="42" max="42" width="15.7109375" style="42" customWidth="1"/>
    <col min="43" max="43" width="14.7109375" style="42" bestFit="1" customWidth="1"/>
    <col min="44" max="44" width="16.28515625" style="42" bestFit="1" customWidth="1"/>
    <col min="45" max="45" width="17.42578125" style="42" customWidth="1"/>
    <col min="46" max="46" width="16.42578125" style="1" customWidth="1"/>
    <col min="47" max="47" width="15.85546875" style="1" customWidth="1"/>
    <col min="48" max="48" width="16.28515625" style="1" customWidth="1"/>
    <col min="49" max="49" width="15.42578125" style="1" customWidth="1"/>
    <col min="50" max="50" width="18.7109375" style="1" customWidth="1"/>
    <col min="51" max="51" width="15.7109375" style="1" customWidth="1"/>
    <col min="52" max="52" width="20" style="1" customWidth="1"/>
    <col min="53" max="53" width="17.140625" style="1" customWidth="1"/>
    <col min="54" max="54" width="19.7109375" style="1" customWidth="1"/>
    <col min="55" max="55" width="20.42578125" style="1" customWidth="1"/>
    <col min="56" max="56" width="20.85546875" style="1" customWidth="1"/>
    <col min="57" max="57" width="24.42578125" style="1" customWidth="1"/>
    <col min="58" max="58" width="19.28515625" style="74" customWidth="1"/>
    <col min="59" max="59" width="17.28515625" style="1" customWidth="1"/>
    <col min="60" max="60" width="14.7109375" style="1" customWidth="1"/>
    <col min="61" max="61" width="14.5703125" style="1" bestFit="1" customWidth="1"/>
    <col min="62" max="16384" width="11.42578125" style="1"/>
  </cols>
  <sheetData>
    <row r="1" spans="1:68" ht="15">
      <c r="D1" s="2"/>
      <c r="E1" s="3"/>
      <c r="F1" s="3"/>
      <c r="G1" s="4"/>
      <c r="H1" s="57"/>
      <c r="I1" s="63"/>
      <c r="J1" s="63"/>
      <c r="K1" s="63"/>
      <c r="L1" s="89"/>
      <c r="M1" s="89"/>
      <c r="N1" s="700"/>
      <c r="O1" s="700"/>
      <c r="P1" s="700"/>
      <c r="Q1" s="700"/>
      <c r="R1" s="700"/>
      <c r="S1" s="700"/>
      <c r="T1" s="700"/>
      <c r="U1" s="700"/>
      <c r="V1" s="700"/>
      <c r="W1" s="5"/>
      <c r="X1" s="6"/>
      <c r="Y1" s="59"/>
      <c r="Z1" s="59"/>
      <c r="AA1" s="59"/>
      <c r="AB1" s="59"/>
      <c r="AC1" s="59"/>
      <c r="AD1" s="59"/>
      <c r="AE1" s="59"/>
      <c r="AF1" s="59"/>
      <c r="AG1" s="59"/>
      <c r="AH1" s="5"/>
      <c r="AI1" s="5"/>
      <c r="AJ1" s="7"/>
      <c r="AK1" s="7"/>
      <c r="AL1" s="7"/>
      <c r="AM1" s="7"/>
      <c r="AN1" s="7"/>
      <c r="AO1" s="7"/>
      <c r="AP1" s="7"/>
      <c r="AQ1" s="7"/>
      <c r="AR1" s="7"/>
      <c r="AS1" s="7"/>
      <c r="AT1" s="5"/>
      <c r="AU1" s="5"/>
      <c r="AV1" s="5"/>
      <c r="AW1" s="5"/>
      <c r="AX1" s="5"/>
      <c r="AY1" s="5"/>
    </row>
    <row r="2" spans="1:68" ht="40.5" customHeight="1">
      <c r="D2" s="56"/>
      <c r="E2" s="3"/>
      <c r="F2" s="3"/>
      <c r="G2" s="4"/>
      <c r="H2" s="57"/>
      <c r="I2" s="63"/>
      <c r="J2" s="63"/>
      <c r="K2" s="63"/>
      <c r="L2" s="89"/>
      <c r="M2" s="89"/>
      <c r="N2" s="130" t="s">
        <v>162</v>
      </c>
      <c r="O2" s="130"/>
      <c r="P2" s="130"/>
      <c r="Q2" s="130"/>
      <c r="R2" s="130"/>
      <c r="S2" s="130"/>
      <c r="T2" s="130"/>
      <c r="U2" s="130"/>
      <c r="V2" s="130"/>
      <c r="W2" s="5"/>
      <c r="X2" s="6"/>
      <c r="Y2" s="59"/>
      <c r="Z2" s="59"/>
      <c r="AA2" s="59"/>
      <c r="AB2" s="59"/>
      <c r="AC2" s="59"/>
      <c r="AD2" s="59"/>
      <c r="AE2" s="59"/>
      <c r="AF2" s="59"/>
      <c r="AG2" s="59"/>
      <c r="AH2" s="5"/>
      <c r="AI2" s="5"/>
      <c r="AJ2" s="7"/>
      <c r="AK2" s="7"/>
      <c r="AL2" s="7"/>
      <c r="AM2" s="7"/>
      <c r="AN2" s="7"/>
      <c r="AO2" s="7"/>
      <c r="AP2" s="7"/>
      <c r="AQ2" s="7"/>
      <c r="AR2" s="7"/>
      <c r="AS2" s="7"/>
      <c r="AT2" s="5"/>
      <c r="AU2" s="5"/>
      <c r="AV2" s="5"/>
      <c r="AW2" s="5"/>
      <c r="AX2" s="5"/>
      <c r="AY2" s="5"/>
    </row>
    <row r="3" spans="1:68" ht="22.5" customHeight="1">
      <c r="D3" s="8"/>
      <c r="E3" s="9"/>
      <c r="F3" s="9"/>
      <c r="G3" s="10"/>
      <c r="H3" s="11"/>
      <c r="I3" s="64"/>
      <c r="J3" s="64"/>
      <c r="K3" s="64"/>
      <c r="L3" s="90"/>
      <c r="M3" s="90"/>
      <c r="N3" s="219">
        <v>2020</v>
      </c>
      <c r="O3" s="129"/>
      <c r="P3" s="129"/>
      <c r="Q3" s="129"/>
      <c r="R3" s="129"/>
      <c r="S3" s="129"/>
      <c r="T3" s="129"/>
      <c r="U3" s="129"/>
      <c r="V3" s="129"/>
      <c r="W3" s="12"/>
      <c r="X3" s="13"/>
      <c r="Y3" s="60"/>
      <c r="Z3" s="60"/>
      <c r="AA3" s="60"/>
      <c r="AB3" s="60"/>
      <c r="AC3" s="60"/>
      <c r="AD3" s="60"/>
      <c r="AE3" s="60"/>
      <c r="AF3" s="60"/>
      <c r="AG3" s="60"/>
      <c r="AH3" s="12"/>
      <c r="AI3" s="12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2"/>
      <c r="AU3" s="12"/>
      <c r="AV3" s="12"/>
      <c r="AW3" s="12"/>
      <c r="AX3" s="12"/>
      <c r="AY3" s="12"/>
      <c r="BB3" s="84"/>
      <c r="BC3" s="222"/>
    </row>
    <row r="4" spans="1:68" ht="33">
      <c r="D4" s="8"/>
      <c r="E4" s="9"/>
      <c r="F4" s="9"/>
      <c r="G4" s="10"/>
      <c r="H4" s="11"/>
      <c r="I4" s="64"/>
      <c r="J4" s="64"/>
      <c r="K4" s="64"/>
      <c r="L4" s="90"/>
      <c r="M4" s="90"/>
      <c r="N4" s="705"/>
      <c r="O4" s="705"/>
      <c r="P4" s="705"/>
      <c r="Q4" s="705"/>
      <c r="R4" s="705"/>
      <c r="S4" s="705"/>
      <c r="T4" s="705"/>
      <c r="U4" s="705"/>
      <c r="V4" s="705"/>
      <c r="W4" s="12"/>
      <c r="X4" s="13"/>
      <c r="Y4" s="60"/>
      <c r="Z4" s="60"/>
      <c r="AA4" s="60"/>
      <c r="AB4" s="60"/>
      <c r="AC4" s="60"/>
      <c r="AD4" s="60"/>
      <c r="AE4" s="60"/>
      <c r="AF4" s="60"/>
      <c r="AG4" s="60"/>
      <c r="AH4" s="12"/>
      <c r="AI4" s="12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2"/>
      <c r="AU4" s="12"/>
      <c r="AV4" s="12"/>
      <c r="AW4" s="12"/>
      <c r="AX4" s="12"/>
      <c r="AY4" s="12"/>
    </row>
    <row r="5" spans="1:68" ht="15">
      <c r="D5" s="15"/>
      <c r="E5" s="16"/>
      <c r="F5" s="16"/>
      <c r="G5" s="10"/>
      <c r="H5" s="11"/>
      <c r="I5" s="64"/>
      <c r="J5" s="64"/>
      <c r="K5" s="64"/>
      <c r="L5" s="90"/>
      <c r="M5" s="92"/>
      <c r="N5" s="701"/>
      <c r="O5" s="701"/>
      <c r="P5" s="701"/>
      <c r="Q5" s="701"/>
      <c r="R5" s="701"/>
      <c r="S5" s="701"/>
      <c r="T5" s="701"/>
      <c r="U5" s="701"/>
      <c r="V5" s="701"/>
      <c r="W5" s="17"/>
      <c r="X5" s="13"/>
      <c r="Y5" s="12"/>
      <c r="Z5" s="12"/>
      <c r="AA5" s="12"/>
      <c r="AB5" s="12"/>
      <c r="AC5" s="12"/>
      <c r="AD5" s="12"/>
      <c r="AE5" s="12"/>
      <c r="AF5" s="12"/>
      <c r="AG5" s="12"/>
      <c r="AH5" s="17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7"/>
      <c r="AU5" s="17"/>
      <c r="AV5" s="17"/>
      <c r="AW5" s="17"/>
      <c r="AX5" s="17"/>
      <c r="AY5" s="17"/>
      <c r="BB5" s="127"/>
      <c r="BC5" s="127"/>
    </row>
    <row r="6" spans="1:68" ht="15">
      <c r="D6" s="15"/>
      <c r="E6" s="16"/>
      <c r="F6" s="16"/>
      <c r="G6" s="19"/>
      <c r="H6" s="19"/>
      <c r="I6" s="65"/>
      <c r="J6" s="65"/>
      <c r="K6" s="65"/>
      <c r="L6" s="91"/>
      <c r="M6" s="91"/>
      <c r="N6" s="85"/>
      <c r="O6" s="85"/>
      <c r="P6" s="85"/>
      <c r="Q6" s="85"/>
      <c r="R6" s="85"/>
      <c r="S6" s="85"/>
      <c r="T6" s="20"/>
      <c r="U6" s="20"/>
      <c r="V6" s="20"/>
      <c r="W6" s="17"/>
      <c r="X6" s="13"/>
      <c r="Y6" s="12"/>
      <c r="Z6" s="12"/>
      <c r="AA6" s="12"/>
      <c r="AB6" s="12"/>
      <c r="AC6" s="12"/>
      <c r="AD6" s="12"/>
      <c r="AE6" s="12"/>
      <c r="AF6" s="12"/>
      <c r="AG6" s="12"/>
      <c r="AH6" s="17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7"/>
      <c r="AU6" s="17"/>
      <c r="AV6" s="17"/>
      <c r="AW6" s="17"/>
      <c r="AX6" s="17"/>
      <c r="AY6" s="17"/>
    </row>
    <row r="7" spans="1:68" ht="31.5" customHeight="1">
      <c r="D7" s="683" t="s">
        <v>161</v>
      </c>
      <c r="E7" s="684"/>
      <c r="F7" s="702" t="s">
        <v>203</v>
      </c>
      <c r="G7" s="703"/>
      <c r="H7" s="703"/>
      <c r="I7" s="703"/>
      <c r="J7" s="703"/>
      <c r="K7" s="703"/>
      <c r="L7" s="703"/>
      <c r="M7" s="703"/>
      <c r="N7" s="703"/>
      <c r="O7" s="703"/>
      <c r="P7" s="703"/>
      <c r="Q7" s="703"/>
      <c r="R7" s="703"/>
      <c r="S7" s="703"/>
      <c r="T7" s="703"/>
      <c r="U7" s="703"/>
      <c r="V7" s="704"/>
      <c r="W7" s="17"/>
      <c r="X7" s="13"/>
      <c r="Y7" s="12"/>
      <c r="Z7" s="12"/>
      <c r="AA7" s="12"/>
      <c r="AB7" s="12"/>
      <c r="AC7" s="12"/>
      <c r="AD7" s="12"/>
      <c r="AE7" s="12"/>
      <c r="AF7" s="12"/>
      <c r="AG7" s="12"/>
      <c r="AH7" s="17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7"/>
      <c r="AU7" s="17"/>
      <c r="AV7" s="17"/>
      <c r="AW7" s="17"/>
      <c r="AX7" s="17"/>
      <c r="AY7" s="17"/>
      <c r="BB7" s="127"/>
      <c r="BC7" s="127"/>
    </row>
    <row r="8" spans="1:68" ht="42.75" customHeight="1">
      <c r="D8" s="683" t="s">
        <v>6</v>
      </c>
      <c r="E8" s="684"/>
      <c r="F8" s="21" t="s">
        <v>200</v>
      </c>
      <c r="G8" s="22"/>
      <c r="H8" s="58"/>
      <c r="I8" s="66"/>
      <c r="J8" s="66"/>
      <c r="K8" s="66"/>
      <c r="L8" s="86"/>
      <c r="M8" s="86"/>
      <c r="N8" s="86"/>
      <c r="O8" s="86"/>
      <c r="P8" s="86"/>
      <c r="Q8" s="86"/>
      <c r="R8" s="86"/>
      <c r="S8" s="86"/>
      <c r="T8" s="22"/>
      <c r="U8" s="22"/>
      <c r="V8" s="23"/>
      <c r="W8" s="17"/>
      <c r="X8" s="13"/>
      <c r="Y8" s="241"/>
      <c r="Z8" s="241"/>
      <c r="AA8" s="241"/>
      <c r="AB8" s="241"/>
      <c r="AC8" s="241"/>
      <c r="AD8" s="241"/>
      <c r="AE8" s="241"/>
      <c r="AF8" s="241"/>
      <c r="AG8" s="241"/>
      <c r="AH8" s="17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7"/>
      <c r="AU8" s="17"/>
      <c r="AV8" s="17"/>
      <c r="AW8" s="17"/>
      <c r="AX8" s="17"/>
      <c r="AY8" s="17"/>
    </row>
    <row r="9" spans="1:68" ht="15.75" customHeight="1">
      <c r="D9" s="697"/>
      <c r="E9" s="697"/>
      <c r="F9" s="24"/>
      <c r="G9" s="25"/>
      <c r="H9" s="25"/>
      <c r="I9" s="67"/>
      <c r="J9" s="67"/>
      <c r="K9" s="67"/>
      <c r="L9" s="87"/>
      <c r="M9" s="87"/>
      <c r="N9" s="87"/>
      <c r="O9" s="87"/>
      <c r="P9" s="87"/>
      <c r="Q9" s="87"/>
      <c r="R9" s="87"/>
      <c r="S9" s="87"/>
      <c r="T9" s="26"/>
      <c r="U9" s="27"/>
      <c r="V9" s="706" t="s">
        <v>133</v>
      </c>
      <c r="W9" s="682">
        <v>1278032</v>
      </c>
      <c r="X9" s="682"/>
      <c r="Y9" s="611"/>
      <c r="Z9" s="253"/>
      <c r="AA9" s="253"/>
      <c r="AB9" s="221"/>
      <c r="AC9" s="221"/>
      <c r="AD9" s="221"/>
      <c r="AE9" s="221"/>
      <c r="AF9" s="221"/>
      <c r="AG9" s="221"/>
      <c r="AH9" s="614" t="s">
        <v>8</v>
      </c>
      <c r="AI9" s="614"/>
      <c r="AJ9" s="614"/>
      <c r="AK9" s="614"/>
      <c r="AL9" s="614"/>
      <c r="AM9" s="614"/>
      <c r="AN9" s="614"/>
      <c r="AO9" s="614"/>
      <c r="AP9" s="614"/>
      <c r="AQ9" s="614"/>
      <c r="AR9" s="614"/>
      <c r="AS9" s="614"/>
      <c r="AT9" s="614"/>
      <c r="AU9" s="614"/>
      <c r="AV9" s="614"/>
      <c r="AW9" s="614"/>
      <c r="AX9" s="614"/>
      <c r="AY9" s="614"/>
      <c r="AZ9" s="614"/>
      <c r="BA9" s="614"/>
      <c r="BB9" s="614"/>
      <c r="BC9" s="614"/>
      <c r="BD9" s="614"/>
      <c r="BE9" s="614"/>
      <c r="BF9" s="677" t="s">
        <v>164</v>
      </c>
    </row>
    <row r="10" spans="1:68" ht="15" customHeight="1">
      <c r="A10" s="28"/>
      <c r="B10" s="28"/>
      <c r="C10" s="28"/>
      <c r="D10" s="28"/>
      <c r="E10" s="29"/>
      <c r="F10" s="29"/>
      <c r="G10" s="30"/>
      <c r="H10" s="659" t="s">
        <v>27</v>
      </c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1"/>
      <c r="T10" s="28"/>
      <c r="U10" s="28"/>
      <c r="V10" s="706"/>
      <c r="W10" s="682"/>
      <c r="X10" s="682"/>
      <c r="Y10" s="611"/>
      <c r="Z10" s="253"/>
      <c r="AA10" s="253"/>
      <c r="AB10" s="221"/>
      <c r="AC10" s="221"/>
      <c r="AD10" s="221"/>
      <c r="AE10" s="221"/>
      <c r="AF10" s="221"/>
      <c r="AG10" s="221"/>
      <c r="AH10" s="614"/>
      <c r="AI10" s="614"/>
      <c r="AJ10" s="614"/>
      <c r="AK10" s="614"/>
      <c r="AL10" s="614"/>
      <c r="AM10" s="614"/>
      <c r="AN10" s="614"/>
      <c r="AO10" s="614"/>
      <c r="AP10" s="614"/>
      <c r="AQ10" s="614"/>
      <c r="AR10" s="614"/>
      <c r="AS10" s="614"/>
      <c r="AT10" s="614"/>
      <c r="AU10" s="614"/>
      <c r="AV10" s="614"/>
      <c r="AW10" s="614"/>
      <c r="AX10" s="614"/>
      <c r="AY10" s="614"/>
      <c r="AZ10" s="614"/>
      <c r="BA10" s="614"/>
      <c r="BB10" s="614"/>
      <c r="BC10" s="614"/>
      <c r="BD10" s="614"/>
      <c r="BE10" s="614"/>
      <c r="BF10" s="677"/>
    </row>
    <row r="11" spans="1:68" ht="16.5" customHeight="1">
      <c r="A11" s="28"/>
      <c r="B11" s="28"/>
      <c r="C11" s="28"/>
      <c r="D11" s="28"/>
      <c r="E11" s="29"/>
      <c r="F11" s="29"/>
      <c r="G11" s="30"/>
      <c r="H11" s="662"/>
      <c r="I11" s="663"/>
      <c r="J11" s="663"/>
      <c r="K11" s="663"/>
      <c r="L11" s="663"/>
      <c r="M11" s="663"/>
      <c r="N11" s="663"/>
      <c r="O11" s="663"/>
      <c r="P11" s="663"/>
      <c r="Q11" s="663"/>
      <c r="R11" s="663"/>
      <c r="S11" s="664"/>
      <c r="T11" s="28"/>
      <c r="U11" s="28"/>
      <c r="V11" s="28"/>
      <c r="W11" s="79"/>
      <c r="X11" s="79"/>
      <c r="Y11" s="611"/>
      <c r="Z11" s="253"/>
      <c r="AA11" s="253"/>
      <c r="AB11" s="221"/>
      <c r="AC11" s="221"/>
      <c r="AD11" s="221"/>
      <c r="AE11" s="221"/>
      <c r="AF11" s="221"/>
      <c r="AG11" s="221"/>
      <c r="AH11" s="610" t="s">
        <v>9</v>
      </c>
      <c r="AI11" s="610"/>
      <c r="AJ11" s="609" t="s">
        <v>10</v>
      </c>
      <c r="AK11" s="609"/>
      <c r="AL11" s="609" t="s">
        <v>11</v>
      </c>
      <c r="AM11" s="609"/>
      <c r="AN11" s="610" t="s">
        <v>12</v>
      </c>
      <c r="AO11" s="610"/>
      <c r="AP11" s="609" t="s">
        <v>13</v>
      </c>
      <c r="AQ11" s="609"/>
      <c r="AR11" s="609" t="s">
        <v>14</v>
      </c>
      <c r="AS11" s="609"/>
      <c r="AT11" s="610" t="s">
        <v>15</v>
      </c>
      <c r="AU11" s="610"/>
      <c r="AV11" s="609" t="s">
        <v>16</v>
      </c>
      <c r="AW11" s="609"/>
      <c r="AX11" s="609" t="s">
        <v>17</v>
      </c>
      <c r="AY11" s="609"/>
      <c r="AZ11" s="610" t="s">
        <v>18</v>
      </c>
      <c r="BA11" s="610"/>
      <c r="BB11" s="609" t="s">
        <v>19</v>
      </c>
      <c r="BC11" s="609"/>
      <c r="BD11" s="609" t="s">
        <v>20</v>
      </c>
      <c r="BE11" s="609"/>
      <c r="BF11" s="677"/>
    </row>
    <row r="12" spans="1:68" s="62" customFormat="1" ht="91.5" customHeight="1">
      <c r="A12" s="235" t="s">
        <v>26</v>
      </c>
      <c r="B12" s="235" t="s">
        <v>25</v>
      </c>
      <c r="C12" s="235" t="s">
        <v>21</v>
      </c>
      <c r="D12" s="235" t="s">
        <v>23</v>
      </c>
      <c r="E12" s="236" t="s">
        <v>24</v>
      </c>
      <c r="F12" s="236" t="s">
        <v>7</v>
      </c>
      <c r="G12" s="237" t="s">
        <v>0</v>
      </c>
      <c r="H12" s="238" t="s">
        <v>9</v>
      </c>
      <c r="I12" s="238" t="s">
        <v>10</v>
      </c>
      <c r="J12" s="238" t="s">
        <v>11</v>
      </c>
      <c r="K12" s="238" t="s">
        <v>12</v>
      </c>
      <c r="L12" s="238" t="s">
        <v>13</v>
      </c>
      <c r="M12" s="238" t="s">
        <v>14</v>
      </c>
      <c r="N12" s="238" t="s">
        <v>15</v>
      </c>
      <c r="O12" s="238" t="s">
        <v>16</v>
      </c>
      <c r="P12" s="238" t="s">
        <v>17</v>
      </c>
      <c r="Q12" s="238" t="s">
        <v>18</v>
      </c>
      <c r="R12" s="238" t="s">
        <v>19</v>
      </c>
      <c r="S12" s="238" t="s">
        <v>20</v>
      </c>
      <c r="T12" s="235" t="s">
        <v>5</v>
      </c>
      <c r="U12" s="235" t="s">
        <v>1</v>
      </c>
      <c r="V12" s="235" t="s">
        <v>4</v>
      </c>
      <c r="W12" s="238" t="s">
        <v>2</v>
      </c>
      <c r="X12" s="235" t="s">
        <v>3</v>
      </c>
      <c r="Y12" s="239" t="s">
        <v>163</v>
      </c>
      <c r="Z12" s="239" t="s">
        <v>226</v>
      </c>
      <c r="AA12" s="239" t="s">
        <v>227</v>
      </c>
      <c r="AB12" s="242" t="s">
        <v>220</v>
      </c>
      <c r="AC12" s="242" t="s">
        <v>221</v>
      </c>
      <c r="AD12" s="242" t="s">
        <v>222</v>
      </c>
      <c r="AE12" s="644" t="s">
        <v>218</v>
      </c>
      <c r="AF12" s="644"/>
      <c r="AG12" s="243" t="s">
        <v>219</v>
      </c>
      <c r="AH12" s="244" t="s">
        <v>22</v>
      </c>
      <c r="AI12" s="245" t="s">
        <v>223</v>
      </c>
      <c r="AJ12" s="246" t="s">
        <v>22</v>
      </c>
      <c r="AK12" s="245" t="s">
        <v>223</v>
      </c>
      <c r="AL12" s="246" t="s">
        <v>22</v>
      </c>
      <c r="AM12" s="245" t="s">
        <v>223</v>
      </c>
      <c r="AN12" s="244" t="s">
        <v>22</v>
      </c>
      <c r="AO12" s="245" t="s">
        <v>223</v>
      </c>
      <c r="AP12" s="246" t="s">
        <v>22</v>
      </c>
      <c r="AQ12" s="245" t="s">
        <v>223</v>
      </c>
      <c r="AR12" s="246" t="s">
        <v>22</v>
      </c>
      <c r="AS12" s="245" t="s">
        <v>223</v>
      </c>
      <c r="AT12" s="244" t="s">
        <v>22</v>
      </c>
      <c r="AU12" s="245" t="s">
        <v>223</v>
      </c>
      <c r="AV12" s="246" t="s">
        <v>22</v>
      </c>
      <c r="AW12" s="245" t="s">
        <v>223</v>
      </c>
      <c r="AX12" s="246" t="s">
        <v>22</v>
      </c>
      <c r="AY12" s="245" t="s">
        <v>223</v>
      </c>
      <c r="AZ12" s="244" t="s">
        <v>22</v>
      </c>
      <c r="BA12" s="245" t="s">
        <v>223</v>
      </c>
      <c r="BB12" s="246" t="s">
        <v>22</v>
      </c>
      <c r="BC12" s="245" t="s">
        <v>223</v>
      </c>
      <c r="BD12" s="246" t="s">
        <v>22</v>
      </c>
      <c r="BE12" s="245" t="s">
        <v>223</v>
      </c>
      <c r="BF12" s="240" t="s">
        <v>165</v>
      </c>
    </row>
    <row r="13" spans="1:68" s="62" customFormat="1" ht="26.25" customHeight="1" thickBot="1">
      <c r="A13" s="223"/>
      <c r="B13" s="223"/>
      <c r="C13" s="165"/>
      <c r="D13" s="165"/>
      <c r="E13" s="167"/>
      <c r="F13" s="167"/>
      <c r="G13" s="224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65"/>
      <c r="V13" s="165"/>
      <c r="W13" s="166"/>
      <c r="X13" s="227"/>
      <c r="Y13" s="228"/>
      <c r="Z13" s="255"/>
      <c r="AA13" s="255"/>
      <c r="AB13" s="229"/>
      <c r="AC13" s="229"/>
      <c r="AD13" s="229"/>
      <c r="AE13" s="61" t="s">
        <v>224</v>
      </c>
      <c r="AF13" s="61" t="s">
        <v>225</v>
      </c>
      <c r="AG13" s="230"/>
      <c r="AH13" s="231"/>
      <c r="AI13" s="232"/>
      <c r="AJ13" s="233"/>
      <c r="AK13" s="232"/>
      <c r="AL13" s="233"/>
      <c r="AM13" s="232"/>
      <c r="AN13" s="231"/>
      <c r="AO13" s="232"/>
      <c r="AP13" s="233"/>
      <c r="AQ13" s="232"/>
      <c r="AR13" s="233"/>
      <c r="AS13" s="232"/>
      <c r="AT13" s="231"/>
      <c r="AU13" s="232"/>
      <c r="AV13" s="233"/>
      <c r="AW13" s="232"/>
      <c r="AX13" s="233"/>
      <c r="AY13" s="232"/>
      <c r="AZ13" s="231"/>
      <c r="BA13" s="232"/>
      <c r="BB13" s="233"/>
      <c r="BC13" s="232"/>
      <c r="BD13" s="233"/>
      <c r="BE13" s="523"/>
      <c r="BF13" s="234"/>
    </row>
    <row r="14" spans="1:68" ht="63.75" customHeight="1">
      <c r="A14" s="630" t="s">
        <v>372</v>
      </c>
      <c r="B14" s="630" t="s">
        <v>367</v>
      </c>
      <c r="C14" s="35" t="s">
        <v>28</v>
      </c>
      <c r="D14" s="35"/>
      <c r="E14" s="689" t="s">
        <v>270</v>
      </c>
      <c r="F14" s="393" t="s">
        <v>258</v>
      </c>
      <c r="G14" s="179" t="s">
        <v>166</v>
      </c>
      <c r="H14" s="168"/>
      <c r="I14" s="168">
        <v>1</v>
      </c>
      <c r="J14" s="168"/>
      <c r="K14" s="168"/>
      <c r="L14" s="168"/>
      <c r="M14" s="168"/>
      <c r="N14" s="168"/>
      <c r="O14" s="168">
        <v>1</v>
      </c>
      <c r="P14" s="168"/>
      <c r="Q14" s="168"/>
      <c r="R14" s="168"/>
      <c r="S14" s="168"/>
      <c r="T14" s="133" t="s">
        <v>53</v>
      </c>
      <c r="U14" s="427" t="s">
        <v>121</v>
      </c>
      <c r="V14" s="135" t="s">
        <v>129</v>
      </c>
      <c r="W14" s="432">
        <v>530803</v>
      </c>
      <c r="X14" s="80" t="s">
        <v>192</v>
      </c>
      <c r="Y14" s="207">
        <v>20</v>
      </c>
      <c r="Z14" s="207"/>
      <c r="AA14" s="256">
        <f>SUM(Y14+Z14)</f>
        <v>20</v>
      </c>
      <c r="AB14" s="207">
        <f>SUM(AI14,AK14,AM14,AO14)</f>
        <v>0</v>
      </c>
      <c r="AC14" s="207">
        <f>SUM(AQ14,AS14,AU14,AW14)</f>
        <v>0</v>
      </c>
      <c r="AD14" s="207">
        <f>SUM(AY14,BA14,BC14,BE14)</f>
        <v>20</v>
      </c>
      <c r="AE14" s="207">
        <f>SUM(AI14,AK14,AM14,AO14,AQ14,AS14,AU14,AW14,AY14,BA14,BC14,BE14)</f>
        <v>20</v>
      </c>
      <c r="AF14" s="207">
        <f>IF(Y14=0,("Sin recurso"),(AE14/Y14))</f>
        <v>1</v>
      </c>
      <c r="AG14" s="207">
        <f t="shared" ref="AG14:AG77" si="0">SUM(AA14-AE14)</f>
        <v>0</v>
      </c>
      <c r="AH14" s="192"/>
      <c r="AI14" s="192"/>
      <c r="AJ14" s="192">
        <v>10</v>
      </c>
      <c r="AK14" s="192"/>
      <c r="AL14" s="192"/>
      <c r="AM14" s="467"/>
      <c r="AN14" s="467"/>
      <c r="AO14" s="192"/>
      <c r="AP14" s="192"/>
      <c r="AQ14" s="192"/>
      <c r="AR14" s="192"/>
      <c r="AS14" s="192"/>
      <c r="AT14" s="192"/>
      <c r="AU14" s="192"/>
      <c r="AV14" s="192">
        <v>10</v>
      </c>
      <c r="AW14" s="192"/>
      <c r="AX14" s="192"/>
      <c r="AY14" s="192"/>
      <c r="AZ14" s="192"/>
      <c r="BA14" s="192"/>
      <c r="BB14" s="192"/>
      <c r="BC14" s="467"/>
      <c r="BD14" s="509"/>
      <c r="BE14" s="524">
        <v>20</v>
      </c>
      <c r="BF14" s="516">
        <f t="shared" ref="BF14:BF44" si="1">SUM(AH14,AJ14,AL14,AN14,AP14,AR14,AT14,AV14,AX14,AZ14,BB14,BD14)</f>
        <v>20</v>
      </c>
      <c r="BG14" s="123"/>
      <c r="BH14" s="287"/>
      <c r="BI14" s="123"/>
      <c r="BJ14" s="123"/>
      <c r="BK14" s="123"/>
      <c r="BL14" s="123"/>
      <c r="BM14" s="123"/>
      <c r="BN14" s="123"/>
      <c r="BO14" s="123"/>
      <c r="BP14" s="123"/>
    </row>
    <row r="15" spans="1:68" s="45" customFormat="1" ht="75.75" customHeight="1">
      <c r="A15" s="727"/>
      <c r="B15" s="630"/>
      <c r="C15" s="35" t="s">
        <v>28</v>
      </c>
      <c r="D15" s="35"/>
      <c r="E15" s="689"/>
      <c r="F15" s="393" t="s">
        <v>271</v>
      </c>
      <c r="G15" s="456" t="s">
        <v>293</v>
      </c>
      <c r="H15" s="457"/>
      <c r="I15" s="457">
        <v>1</v>
      </c>
      <c r="J15" s="457"/>
      <c r="K15" s="457"/>
      <c r="L15" s="457"/>
      <c r="M15" s="457"/>
      <c r="N15" s="457"/>
      <c r="O15" s="457">
        <v>1</v>
      </c>
      <c r="P15" s="457"/>
      <c r="Q15" s="457"/>
      <c r="R15" s="457"/>
      <c r="S15" s="457"/>
      <c r="T15" s="133" t="s">
        <v>53</v>
      </c>
      <c r="U15" s="458" t="s">
        <v>349</v>
      </c>
      <c r="V15" s="459" t="s">
        <v>350</v>
      </c>
      <c r="W15" s="460">
        <v>530803</v>
      </c>
      <c r="X15" s="461" t="s">
        <v>192</v>
      </c>
      <c r="Y15" s="207">
        <v>40</v>
      </c>
      <c r="Z15" s="207"/>
      <c r="AA15" s="256">
        <f>SUM(Y15+Z15)</f>
        <v>40</v>
      </c>
      <c r="AB15" s="207">
        <f t="shared" ref="AB15:AB79" si="2">SUM(AI15,AK15,AM15,AO15)</f>
        <v>0</v>
      </c>
      <c r="AC15" s="207">
        <f t="shared" ref="AC15:AC79" si="3">SUM(AQ15,AS15,AU15,AW15)</f>
        <v>47.94</v>
      </c>
      <c r="AD15" s="207">
        <f t="shared" ref="AD15:AD77" si="4">SUM(AY15,BA15,BC15,BE15)</f>
        <v>0</v>
      </c>
      <c r="AE15" s="207">
        <f t="shared" ref="AE15:AE77" si="5">SUM(AI15,AK15,AM15,AO15,AQ15,AS15,AU15,AW15,AY15,BA15,BC15,BE15)</f>
        <v>47.94</v>
      </c>
      <c r="AF15" s="207">
        <f t="shared" ref="AF15:AF79" si="6">IF(Y15=0,("Sin recurso"),(AE15/Y15))</f>
        <v>1.1984999999999999</v>
      </c>
      <c r="AG15" s="207">
        <f t="shared" si="0"/>
        <v>-7.9399999999999977</v>
      </c>
      <c r="AH15" s="192"/>
      <c r="AI15" s="192"/>
      <c r="AJ15" s="192">
        <v>20</v>
      </c>
      <c r="AK15" s="192"/>
      <c r="AL15" s="192"/>
      <c r="AM15" s="192"/>
      <c r="AN15" s="192"/>
      <c r="AO15" s="590"/>
      <c r="AP15" s="192"/>
      <c r="AQ15" s="192"/>
      <c r="AR15" s="192"/>
      <c r="AS15" s="498">
        <v>27</v>
      </c>
      <c r="AT15" s="192"/>
      <c r="AU15" s="498">
        <v>20.94</v>
      </c>
      <c r="AV15" s="192">
        <v>20</v>
      </c>
      <c r="AW15" s="467"/>
      <c r="AX15" s="192"/>
      <c r="AY15" s="192"/>
      <c r="AZ15" s="192"/>
      <c r="BA15" s="192"/>
      <c r="BB15" s="192"/>
      <c r="BC15" s="192"/>
      <c r="BD15" s="509"/>
      <c r="BE15" s="525"/>
      <c r="BF15" s="516">
        <f t="shared" si="1"/>
        <v>40</v>
      </c>
      <c r="BG15" s="123"/>
      <c r="BH15" s="287"/>
      <c r="BI15" s="123"/>
      <c r="BJ15" s="123"/>
      <c r="BK15" s="123"/>
      <c r="BL15" s="123"/>
      <c r="BM15" s="123"/>
      <c r="BN15" s="123"/>
      <c r="BO15" s="123"/>
      <c r="BP15" s="123"/>
    </row>
    <row r="16" spans="1:68" ht="87.75" customHeight="1">
      <c r="A16" s="727"/>
      <c r="B16" s="630"/>
      <c r="C16" s="35" t="s">
        <v>28</v>
      </c>
      <c r="D16" s="35"/>
      <c r="E16" s="690" t="s">
        <v>274</v>
      </c>
      <c r="F16" s="393" t="s">
        <v>272</v>
      </c>
      <c r="G16" s="439" t="s">
        <v>294</v>
      </c>
      <c r="H16" s="168"/>
      <c r="I16" s="168">
        <v>1</v>
      </c>
      <c r="J16" s="168"/>
      <c r="K16" s="168">
        <v>1</v>
      </c>
      <c r="L16" s="168"/>
      <c r="M16" s="168">
        <v>1</v>
      </c>
      <c r="N16" s="168"/>
      <c r="O16" s="168">
        <v>1</v>
      </c>
      <c r="P16" s="168"/>
      <c r="Q16" s="168">
        <v>1</v>
      </c>
      <c r="R16" s="168"/>
      <c r="S16" s="168">
        <v>1</v>
      </c>
      <c r="T16" s="133" t="s">
        <v>53</v>
      </c>
      <c r="U16" s="427" t="s">
        <v>121</v>
      </c>
      <c r="V16" s="135" t="s">
        <v>129</v>
      </c>
      <c r="W16" s="432">
        <v>530803</v>
      </c>
      <c r="X16" s="80" t="s">
        <v>192</v>
      </c>
      <c r="Y16" s="207">
        <v>60</v>
      </c>
      <c r="Z16" s="207"/>
      <c r="AA16" s="256">
        <f t="shared" ref="AA16:AA77" si="7">SUM(Y16-Z16)</f>
        <v>60</v>
      </c>
      <c r="AB16" s="207">
        <f t="shared" si="2"/>
        <v>20</v>
      </c>
      <c r="AC16" s="207">
        <f t="shared" si="3"/>
        <v>18</v>
      </c>
      <c r="AD16" s="207">
        <f t="shared" si="4"/>
        <v>22</v>
      </c>
      <c r="AE16" s="207">
        <f t="shared" si="5"/>
        <v>60</v>
      </c>
      <c r="AF16" s="207">
        <f t="shared" si="6"/>
        <v>1</v>
      </c>
      <c r="AG16" s="207">
        <f t="shared" si="0"/>
        <v>0</v>
      </c>
      <c r="AH16" s="192"/>
      <c r="AI16" s="192"/>
      <c r="AJ16" s="192">
        <v>10</v>
      </c>
      <c r="AK16" s="192"/>
      <c r="AL16" s="192"/>
      <c r="AM16" s="498">
        <v>20</v>
      </c>
      <c r="AN16" s="192">
        <v>10</v>
      </c>
      <c r="AO16" s="192"/>
      <c r="AP16" s="192"/>
      <c r="AQ16" s="192"/>
      <c r="AR16" s="192">
        <v>10</v>
      </c>
      <c r="AS16" s="467"/>
      <c r="AT16" s="192"/>
      <c r="AU16" s="192"/>
      <c r="AV16" s="192">
        <v>10</v>
      </c>
      <c r="AW16" s="498">
        <v>18</v>
      </c>
      <c r="AX16" s="192"/>
      <c r="AY16" s="467"/>
      <c r="AZ16" s="192">
        <v>10</v>
      </c>
      <c r="BA16" s="192"/>
      <c r="BB16" s="192"/>
      <c r="BC16" s="192"/>
      <c r="BD16" s="509">
        <v>10</v>
      </c>
      <c r="BE16" s="525">
        <v>22</v>
      </c>
      <c r="BF16" s="516">
        <f t="shared" si="1"/>
        <v>60</v>
      </c>
      <c r="BG16" s="123"/>
      <c r="BH16" s="287"/>
      <c r="BI16" s="123"/>
      <c r="BJ16" s="123"/>
      <c r="BK16" s="123"/>
      <c r="BL16" s="123"/>
      <c r="BM16" s="123"/>
      <c r="BN16" s="123"/>
      <c r="BO16" s="123"/>
      <c r="BP16" s="123"/>
    </row>
    <row r="17" spans="1:68" ht="83.25" customHeight="1">
      <c r="A17" s="727"/>
      <c r="B17" s="630"/>
      <c r="C17" s="35" t="s">
        <v>28</v>
      </c>
      <c r="D17" s="50"/>
      <c r="E17" s="690"/>
      <c r="F17" s="421" t="s">
        <v>273</v>
      </c>
      <c r="G17" s="456" t="s">
        <v>119</v>
      </c>
      <c r="H17" s="457">
        <v>1</v>
      </c>
      <c r="I17" s="457">
        <v>1</v>
      </c>
      <c r="J17" s="457">
        <v>1</v>
      </c>
      <c r="K17" s="457">
        <v>1</v>
      </c>
      <c r="L17" s="457">
        <v>1</v>
      </c>
      <c r="M17" s="457">
        <v>1</v>
      </c>
      <c r="N17" s="457">
        <v>1</v>
      </c>
      <c r="O17" s="457">
        <v>1</v>
      </c>
      <c r="P17" s="457">
        <v>1</v>
      </c>
      <c r="Q17" s="457">
        <v>1</v>
      </c>
      <c r="R17" s="457">
        <v>1</v>
      </c>
      <c r="S17" s="457">
        <v>1</v>
      </c>
      <c r="T17" s="133" t="s">
        <v>53</v>
      </c>
      <c r="U17" s="458" t="s">
        <v>349</v>
      </c>
      <c r="V17" s="459" t="s">
        <v>351</v>
      </c>
      <c r="W17" s="460">
        <v>530803</v>
      </c>
      <c r="X17" s="461" t="s">
        <v>192</v>
      </c>
      <c r="Y17" s="207">
        <v>60</v>
      </c>
      <c r="Z17" s="207">
        <f>-50</f>
        <v>-50</v>
      </c>
      <c r="AA17" s="256">
        <f>SUM(Y17+Z17)</f>
        <v>10</v>
      </c>
      <c r="AB17" s="207">
        <f t="shared" si="2"/>
        <v>0</v>
      </c>
      <c r="AC17" s="207">
        <f t="shared" si="3"/>
        <v>6.25</v>
      </c>
      <c r="AD17" s="207">
        <f t="shared" si="4"/>
        <v>0</v>
      </c>
      <c r="AE17" s="207">
        <f t="shared" si="5"/>
        <v>6.25</v>
      </c>
      <c r="AF17" s="207">
        <f t="shared" si="6"/>
        <v>0.10416666666666667</v>
      </c>
      <c r="AG17" s="207">
        <f t="shared" si="0"/>
        <v>3.75</v>
      </c>
      <c r="AH17" s="192">
        <v>5</v>
      </c>
      <c r="AI17" s="192"/>
      <c r="AJ17" s="192">
        <v>5</v>
      </c>
      <c r="AK17" s="192"/>
      <c r="AL17" s="192">
        <v>5</v>
      </c>
      <c r="AM17" s="192"/>
      <c r="AN17" s="192">
        <v>5</v>
      </c>
      <c r="AO17" s="192"/>
      <c r="AP17" s="192">
        <v>5</v>
      </c>
      <c r="AQ17" s="192"/>
      <c r="AR17" s="192">
        <v>5</v>
      </c>
      <c r="AS17" s="192"/>
      <c r="AT17" s="192">
        <v>5</v>
      </c>
      <c r="AU17" s="498">
        <v>6.25</v>
      </c>
      <c r="AV17" s="192">
        <v>5</v>
      </c>
      <c r="AW17" s="192"/>
      <c r="AX17" s="192">
        <v>5</v>
      </c>
      <c r="AY17" s="192"/>
      <c r="AZ17" s="192">
        <v>5</v>
      </c>
      <c r="BA17" s="192"/>
      <c r="BB17" s="192">
        <f>5-50</f>
        <v>-45</v>
      </c>
      <c r="BC17" s="192"/>
      <c r="BD17" s="509">
        <v>5</v>
      </c>
      <c r="BE17" s="525"/>
      <c r="BF17" s="516">
        <f t="shared" si="1"/>
        <v>10</v>
      </c>
      <c r="BG17" s="123"/>
      <c r="BH17" s="287"/>
      <c r="BI17" s="123"/>
      <c r="BJ17" s="123"/>
      <c r="BK17" s="123"/>
      <c r="BL17" s="123"/>
      <c r="BM17" s="123"/>
      <c r="BN17" s="123"/>
      <c r="BO17" s="123"/>
      <c r="BP17" s="123"/>
    </row>
    <row r="18" spans="1:68" ht="79.5" customHeight="1">
      <c r="A18" s="727"/>
      <c r="B18" s="630"/>
      <c r="C18" s="630" t="s">
        <v>28</v>
      </c>
      <c r="D18" s="630"/>
      <c r="E18" s="691" t="s">
        <v>275</v>
      </c>
      <c r="F18" s="685" t="s">
        <v>276</v>
      </c>
      <c r="G18" s="686" t="s">
        <v>114</v>
      </c>
      <c r="H18" s="707">
        <v>1</v>
      </c>
      <c r="I18" s="649">
        <v>1</v>
      </c>
      <c r="J18" s="649">
        <v>1</v>
      </c>
      <c r="K18" s="649">
        <v>1</v>
      </c>
      <c r="L18" s="649">
        <v>1</v>
      </c>
      <c r="M18" s="649">
        <v>1</v>
      </c>
      <c r="N18" s="649">
        <v>1</v>
      </c>
      <c r="O18" s="649">
        <v>1</v>
      </c>
      <c r="P18" s="649">
        <v>1</v>
      </c>
      <c r="Q18" s="649">
        <v>1</v>
      </c>
      <c r="R18" s="649">
        <v>1</v>
      </c>
      <c r="S18" s="678">
        <v>1</v>
      </c>
      <c r="T18" s="687" t="s">
        <v>53</v>
      </c>
      <c r="U18" s="617" t="s">
        <v>121</v>
      </c>
      <c r="V18" s="651" t="s">
        <v>129</v>
      </c>
      <c r="W18" s="50">
        <v>530803</v>
      </c>
      <c r="X18" s="80" t="s">
        <v>192</v>
      </c>
      <c r="Y18" s="207">
        <v>60</v>
      </c>
      <c r="Z18" s="207"/>
      <c r="AA18" s="256">
        <f>SUM(Y18+Z18)</f>
        <v>60</v>
      </c>
      <c r="AB18" s="207">
        <f t="shared" si="2"/>
        <v>33.9</v>
      </c>
      <c r="AC18" s="207">
        <f t="shared" si="3"/>
        <v>119.55000000000001</v>
      </c>
      <c r="AD18" s="207">
        <f t="shared" si="4"/>
        <v>70</v>
      </c>
      <c r="AE18" s="207">
        <f t="shared" si="5"/>
        <v>223.45</v>
      </c>
      <c r="AF18" s="207">
        <f t="shared" si="6"/>
        <v>3.7241666666666666</v>
      </c>
      <c r="AG18" s="207">
        <f t="shared" si="0"/>
        <v>-163.44999999999999</v>
      </c>
      <c r="AH18" s="192">
        <v>5</v>
      </c>
      <c r="AI18" s="192"/>
      <c r="AJ18" s="192">
        <v>5</v>
      </c>
      <c r="AK18" s="498">
        <v>25.15</v>
      </c>
      <c r="AL18" s="192">
        <v>5</v>
      </c>
      <c r="AM18" s="498">
        <v>8.75</v>
      </c>
      <c r="AN18" s="192">
        <v>5</v>
      </c>
      <c r="AO18" s="192"/>
      <c r="AP18" s="192">
        <v>5</v>
      </c>
      <c r="AQ18" s="192"/>
      <c r="AR18" s="192">
        <v>5</v>
      </c>
      <c r="AS18" s="192"/>
      <c r="AT18" s="192">
        <v>5</v>
      </c>
      <c r="AU18" s="498">
        <v>54.32</v>
      </c>
      <c r="AV18" s="192">
        <v>5</v>
      </c>
      <c r="AW18" s="498">
        <v>65.23</v>
      </c>
      <c r="AX18" s="192">
        <v>5</v>
      </c>
      <c r="AY18" s="498">
        <v>38</v>
      </c>
      <c r="AZ18" s="192">
        <v>5</v>
      </c>
      <c r="BA18" s="498">
        <v>20</v>
      </c>
      <c r="BB18" s="192">
        <v>5</v>
      </c>
      <c r="BC18" s="498">
        <v>12</v>
      </c>
      <c r="BD18" s="509">
        <v>5</v>
      </c>
      <c r="BE18" s="526"/>
      <c r="BF18" s="516">
        <f t="shared" si="1"/>
        <v>60</v>
      </c>
      <c r="BG18" s="123"/>
      <c r="BH18" s="287"/>
      <c r="BI18" s="123"/>
      <c r="BJ18" s="123"/>
      <c r="BK18" s="123"/>
      <c r="BL18" s="123"/>
      <c r="BM18" s="123"/>
      <c r="BN18" s="123"/>
      <c r="BO18" s="123"/>
      <c r="BP18" s="123"/>
    </row>
    <row r="19" spans="1:68" ht="54.75" customHeight="1">
      <c r="A19" s="727"/>
      <c r="B19" s="630"/>
      <c r="C19" s="630"/>
      <c r="D19" s="630"/>
      <c r="E19" s="691"/>
      <c r="F19" s="685"/>
      <c r="G19" s="686"/>
      <c r="H19" s="708"/>
      <c r="I19" s="650"/>
      <c r="J19" s="650"/>
      <c r="K19" s="650"/>
      <c r="L19" s="650"/>
      <c r="M19" s="650"/>
      <c r="N19" s="650"/>
      <c r="O19" s="650"/>
      <c r="P19" s="650"/>
      <c r="Q19" s="650"/>
      <c r="R19" s="650"/>
      <c r="S19" s="679"/>
      <c r="T19" s="688"/>
      <c r="U19" s="617"/>
      <c r="V19" s="651"/>
      <c r="W19" s="50">
        <v>530303</v>
      </c>
      <c r="X19" s="80" t="s">
        <v>30</v>
      </c>
      <c r="Y19" s="191">
        <v>0</v>
      </c>
      <c r="Z19" s="191"/>
      <c r="AA19" s="256">
        <f t="shared" si="7"/>
        <v>0</v>
      </c>
      <c r="AB19" s="207">
        <f t="shared" si="2"/>
        <v>0</v>
      </c>
      <c r="AC19" s="207">
        <f t="shared" si="3"/>
        <v>0</v>
      </c>
      <c r="AD19" s="207">
        <f t="shared" si="4"/>
        <v>0</v>
      </c>
      <c r="AE19" s="207">
        <f t="shared" si="5"/>
        <v>0</v>
      </c>
      <c r="AF19" s="207" t="str">
        <f t="shared" si="6"/>
        <v>Sin recurso</v>
      </c>
      <c r="AG19" s="207">
        <f t="shared" si="0"/>
        <v>0</v>
      </c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509"/>
      <c r="BE19" s="526"/>
      <c r="BF19" s="516">
        <f t="shared" si="1"/>
        <v>0</v>
      </c>
      <c r="BG19" s="123"/>
      <c r="BH19" s="287"/>
      <c r="BI19" s="123"/>
      <c r="BJ19" s="123"/>
      <c r="BK19" s="123"/>
      <c r="BL19" s="123"/>
      <c r="BM19" s="123"/>
      <c r="BN19" s="123"/>
      <c r="BO19" s="123"/>
      <c r="BP19" s="123"/>
    </row>
    <row r="20" spans="1:68" ht="82.5" customHeight="1">
      <c r="A20" s="727"/>
      <c r="B20" s="630"/>
      <c r="C20" s="35" t="s">
        <v>28</v>
      </c>
      <c r="D20" s="35"/>
      <c r="E20" s="691" t="s">
        <v>277</v>
      </c>
      <c r="F20" s="421" t="s">
        <v>278</v>
      </c>
      <c r="G20" s="179" t="s">
        <v>295</v>
      </c>
      <c r="H20" s="168"/>
      <c r="I20" s="168"/>
      <c r="J20" s="168">
        <v>1</v>
      </c>
      <c r="K20" s="168"/>
      <c r="L20" s="168"/>
      <c r="M20" s="168">
        <v>1</v>
      </c>
      <c r="N20" s="168"/>
      <c r="O20" s="168"/>
      <c r="P20" s="168">
        <v>1</v>
      </c>
      <c r="Q20" s="168"/>
      <c r="R20" s="168"/>
      <c r="S20" s="168">
        <v>1</v>
      </c>
      <c r="T20" s="426" t="s">
        <v>53</v>
      </c>
      <c r="U20" s="427" t="s">
        <v>121</v>
      </c>
      <c r="V20" s="135" t="s">
        <v>129</v>
      </c>
      <c r="W20" s="432">
        <v>530803</v>
      </c>
      <c r="X20" s="80" t="s">
        <v>192</v>
      </c>
      <c r="Y20" s="207">
        <v>20</v>
      </c>
      <c r="Z20" s="207"/>
      <c r="AA20" s="256">
        <f>SUM(Y20+Z20)</f>
        <v>20</v>
      </c>
      <c r="AB20" s="207">
        <f t="shared" si="2"/>
        <v>0</v>
      </c>
      <c r="AC20" s="207">
        <f t="shared" si="3"/>
        <v>0</v>
      </c>
      <c r="AD20" s="207">
        <f t="shared" si="4"/>
        <v>20</v>
      </c>
      <c r="AE20" s="207">
        <f t="shared" si="5"/>
        <v>20</v>
      </c>
      <c r="AF20" s="207">
        <f t="shared" si="6"/>
        <v>1</v>
      </c>
      <c r="AG20" s="207">
        <f t="shared" si="0"/>
        <v>0</v>
      </c>
      <c r="AH20" s="192"/>
      <c r="AI20" s="192"/>
      <c r="AJ20" s="192"/>
      <c r="AK20" s="192"/>
      <c r="AL20" s="192">
        <v>5</v>
      </c>
      <c r="AM20" s="192"/>
      <c r="AN20" s="192"/>
      <c r="AO20" s="192"/>
      <c r="AP20" s="192"/>
      <c r="AQ20" s="192"/>
      <c r="AR20" s="192">
        <v>5</v>
      </c>
      <c r="AS20" s="192"/>
      <c r="AT20" s="192"/>
      <c r="AU20" s="192"/>
      <c r="AV20" s="192"/>
      <c r="AW20" s="192"/>
      <c r="AX20" s="192">
        <v>5</v>
      </c>
      <c r="AY20" s="192"/>
      <c r="AZ20" s="192"/>
      <c r="BA20" s="192"/>
      <c r="BB20" s="192"/>
      <c r="BC20" s="192"/>
      <c r="BD20" s="509">
        <v>5</v>
      </c>
      <c r="BE20" s="526">
        <v>20</v>
      </c>
      <c r="BF20" s="516">
        <f t="shared" si="1"/>
        <v>20</v>
      </c>
      <c r="BG20" s="123"/>
      <c r="BH20" s="287"/>
      <c r="BI20" s="123"/>
      <c r="BJ20" s="123"/>
      <c r="BK20" s="123"/>
      <c r="BL20" s="123"/>
      <c r="BM20" s="123"/>
      <c r="BN20" s="123"/>
      <c r="BO20" s="123"/>
      <c r="BP20" s="123"/>
    </row>
    <row r="21" spans="1:68" ht="87" customHeight="1">
      <c r="A21" s="727"/>
      <c r="B21" s="630"/>
      <c r="C21" s="35" t="s">
        <v>28</v>
      </c>
      <c r="D21" s="35"/>
      <c r="E21" s="691"/>
      <c r="F21" s="421" t="s">
        <v>279</v>
      </c>
      <c r="G21" s="440" t="s">
        <v>296</v>
      </c>
      <c r="H21" s="168"/>
      <c r="I21" s="168"/>
      <c r="J21" s="168">
        <v>1</v>
      </c>
      <c r="K21" s="168"/>
      <c r="L21" s="168">
        <v>1</v>
      </c>
      <c r="M21" s="168"/>
      <c r="N21" s="168"/>
      <c r="O21" s="168">
        <v>1</v>
      </c>
      <c r="P21" s="168"/>
      <c r="Q21" s="168"/>
      <c r="R21" s="168">
        <v>1</v>
      </c>
      <c r="S21" s="168"/>
      <c r="T21" s="133" t="s">
        <v>53</v>
      </c>
      <c r="U21" s="168" t="s">
        <v>121</v>
      </c>
      <c r="V21" s="168" t="s">
        <v>129</v>
      </c>
      <c r="W21" s="432">
        <v>530803</v>
      </c>
      <c r="X21" s="80" t="s">
        <v>192</v>
      </c>
      <c r="Y21" s="207">
        <v>20</v>
      </c>
      <c r="Z21" s="207">
        <f>-20</f>
        <v>-20</v>
      </c>
      <c r="AA21" s="256">
        <f>SUM(Y21+Z21)</f>
        <v>0</v>
      </c>
      <c r="AB21" s="207">
        <f t="shared" si="2"/>
        <v>0</v>
      </c>
      <c r="AC21" s="207">
        <f t="shared" si="3"/>
        <v>0</v>
      </c>
      <c r="AD21" s="207">
        <f t="shared" si="4"/>
        <v>0</v>
      </c>
      <c r="AE21" s="207">
        <f t="shared" si="5"/>
        <v>0</v>
      </c>
      <c r="AF21" s="207">
        <f t="shared" si="6"/>
        <v>0</v>
      </c>
      <c r="AG21" s="207">
        <f t="shared" si="0"/>
        <v>0</v>
      </c>
      <c r="AH21" s="192"/>
      <c r="AI21" s="192"/>
      <c r="AJ21" s="192"/>
      <c r="AK21" s="192"/>
      <c r="AL21" s="192">
        <v>5</v>
      </c>
      <c r="AM21" s="192"/>
      <c r="AN21" s="192"/>
      <c r="AO21" s="467"/>
      <c r="AP21" s="192"/>
      <c r="AQ21" s="467"/>
      <c r="AR21" s="192">
        <v>5</v>
      </c>
      <c r="AS21" s="192"/>
      <c r="AT21" s="192"/>
      <c r="AU21" s="192"/>
      <c r="AV21" s="192"/>
      <c r="AW21" s="192"/>
      <c r="AX21" s="192">
        <v>5</v>
      </c>
      <c r="AY21" s="192"/>
      <c r="AZ21" s="192"/>
      <c r="BA21" s="192"/>
      <c r="BB21" s="192">
        <f>-20</f>
        <v>-20</v>
      </c>
      <c r="BC21" s="192"/>
      <c r="BD21" s="509">
        <v>5</v>
      </c>
      <c r="BE21" s="525"/>
      <c r="BF21" s="516">
        <f t="shared" si="1"/>
        <v>0</v>
      </c>
      <c r="BG21" s="123"/>
      <c r="BH21" s="287"/>
      <c r="BI21" s="123"/>
      <c r="BJ21" s="123"/>
      <c r="BK21" s="123"/>
      <c r="BL21" s="123"/>
      <c r="BM21" s="123"/>
      <c r="BN21" s="123"/>
      <c r="BO21" s="123"/>
      <c r="BP21" s="123"/>
    </row>
    <row r="22" spans="1:68" ht="87" customHeight="1">
      <c r="A22" s="727"/>
      <c r="B22" s="630"/>
      <c r="C22" s="35" t="s">
        <v>28</v>
      </c>
      <c r="D22" s="35"/>
      <c r="E22" s="691"/>
      <c r="F22" s="421" t="s">
        <v>280</v>
      </c>
      <c r="G22" s="440" t="s">
        <v>33</v>
      </c>
      <c r="H22" s="168"/>
      <c r="I22" s="168"/>
      <c r="J22" s="168"/>
      <c r="K22" s="168"/>
      <c r="L22" s="168">
        <v>1</v>
      </c>
      <c r="M22" s="168"/>
      <c r="N22" s="168"/>
      <c r="O22" s="168"/>
      <c r="P22" s="168"/>
      <c r="Q22" s="168"/>
      <c r="R22" s="168"/>
      <c r="S22" s="168"/>
      <c r="T22" s="133" t="s">
        <v>53</v>
      </c>
      <c r="U22" s="427" t="s">
        <v>121</v>
      </c>
      <c r="V22" s="135" t="s">
        <v>129</v>
      </c>
      <c r="W22" s="432">
        <v>530803</v>
      </c>
      <c r="X22" s="80" t="s">
        <v>192</v>
      </c>
      <c r="Y22" s="207">
        <v>20</v>
      </c>
      <c r="Z22" s="207">
        <f>-2.28</f>
        <v>-2.2799999999999998</v>
      </c>
      <c r="AA22" s="256">
        <f>SUM(Y22+Z22)</f>
        <v>17.72</v>
      </c>
      <c r="AB22" s="207">
        <f t="shared" si="2"/>
        <v>0</v>
      </c>
      <c r="AC22" s="207">
        <f t="shared" si="3"/>
        <v>0</v>
      </c>
      <c r="AD22" s="207">
        <f t="shared" si="4"/>
        <v>16.27</v>
      </c>
      <c r="AE22" s="207">
        <f t="shared" si="5"/>
        <v>16.27</v>
      </c>
      <c r="AF22" s="207">
        <f t="shared" si="6"/>
        <v>0.8135</v>
      </c>
      <c r="AG22" s="207">
        <f t="shared" si="0"/>
        <v>1.4499999999999993</v>
      </c>
      <c r="AH22" s="192"/>
      <c r="AI22" s="192"/>
      <c r="AJ22" s="192"/>
      <c r="AK22" s="192"/>
      <c r="AL22" s="192"/>
      <c r="AM22" s="192"/>
      <c r="AN22" s="192"/>
      <c r="AO22" s="192"/>
      <c r="AP22" s="192">
        <v>20</v>
      </c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>
        <f>-2.28</f>
        <v>-2.2799999999999998</v>
      </c>
      <c r="BC22" s="498">
        <v>16.27</v>
      </c>
      <c r="BD22" s="509"/>
      <c r="BE22" s="526"/>
      <c r="BF22" s="516">
        <f t="shared" si="1"/>
        <v>17.72</v>
      </c>
      <c r="BG22" s="123"/>
      <c r="BH22" s="287"/>
      <c r="BI22" s="123"/>
      <c r="BJ22" s="123"/>
      <c r="BK22" s="123"/>
      <c r="BL22" s="123"/>
      <c r="BM22" s="123"/>
      <c r="BN22" s="123"/>
      <c r="BO22" s="123"/>
      <c r="BP22" s="123"/>
    </row>
    <row r="23" spans="1:68" ht="78.75" customHeight="1">
      <c r="A23" s="727"/>
      <c r="B23" s="630"/>
      <c r="C23" s="630" t="s">
        <v>214</v>
      </c>
      <c r="D23" s="35"/>
      <c r="E23" s="691"/>
      <c r="F23" s="696" t="s">
        <v>368</v>
      </c>
      <c r="G23" s="693" t="s">
        <v>32</v>
      </c>
      <c r="H23" s="615">
        <v>1</v>
      </c>
      <c r="I23" s="615">
        <v>1</v>
      </c>
      <c r="J23" s="615">
        <v>1</v>
      </c>
      <c r="K23" s="615">
        <v>1</v>
      </c>
      <c r="L23" s="615">
        <v>1</v>
      </c>
      <c r="M23" s="615">
        <v>1</v>
      </c>
      <c r="N23" s="615">
        <v>1</v>
      </c>
      <c r="O23" s="615">
        <v>1</v>
      </c>
      <c r="P23" s="615">
        <v>1</v>
      </c>
      <c r="Q23" s="615">
        <v>1</v>
      </c>
      <c r="R23" s="615">
        <v>1</v>
      </c>
      <c r="S23" s="680">
        <v>1</v>
      </c>
      <c r="T23" s="612" t="s">
        <v>53</v>
      </c>
      <c r="U23" s="624" t="s">
        <v>121</v>
      </c>
      <c r="V23" s="652" t="s">
        <v>129</v>
      </c>
      <c r="W23" s="50">
        <v>530803</v>
      </c>
      <c r="X23" s="80" t="s">
        <v>192</v>
      </c>
      <c r="Y23" s="207">
        <v>305</v>
      </c>
      <c r="Z23" s="332">
        <f>-150</f>
        <v>-150</v>
      </c>
      <c r="AA23" s="256">
        <f>SUM(Y23+Z23)</f>
        <v>155</v>
      </c>
      <c r="AB23" s="207">
        <f t="shared" si="2"/>
        <v>125.45</v>
      </c>
      <c r="AC23" s="207">
        <f t="shared" si="3"/>
        <v>83.2</v>
      </c>
      <c r="AD23" s="207">
        <f t="shared" si="4"/>
        <v>20</v>
      </c>
      <c r="AE23" s="207">
        <f t="shared" si="5"/>
        <v>228.64999999999998</v>
      </c>
      <c r="AF23" s="207">
        <f t="shared" si="6"/>
        <v>0.74967213114754094</v>
      </c>
      <c r="AG23" s="207">
        <f t="shared" si="0"/>
        <v>-73.649999999999977</v>
      </c>
      <c r="AH23" s="257">
        <v>30</v>
      </c>
      <c r="AI23" s="257"/>
      <c r="AJ23" s="257">
        <v>25</v>
      </c>
      <c r="AK23" s="257">
        <v>34.450000000000003</v>
      </c>
      <c r="AL23" s="257">
        <v>25</v>
      </c>
      <c r="AM23" s="498">
        <v>31</v>
      </c>
      <c r="AN23" s="257">
        <v>25</v>
      </c>
      <c r="AO23" s="498">
        <v>60</v>
      </c>
      <c r="AP23" s="257">
        <v>25</v>
      </c>
      <c r="AQ23" s="498">
        <v>23</v>
      </c>
      <c r="AR23" s="257">
        <v>25</v>
      </c>
      <c r="AS23" s="498">
        <v>20</v>
      </c>
      <c r="AT23" s="257">
        <f>25</f>
        <v>25</v>
      </c>
      <c r="AU23" s="498">
        <v>21.7</v>
      </c>
      <c r="AV23" s="257">
        <f>25-150</f>
        <v>-125</v>
      </c>
      <c r="AW23" s="498">
        <v>18.5</v>
      </c>
      <c r="AX23" s="257">
        <v>25</v>
      </c>
      <c r="AY23" s="257"/>
      <c r="AZ23" s="257">
        <v>25</v>
      </c>
      <c r="BA23" s="257"/>
      <c r="BB23" s="331">
        <v>25</v>
      </c>
      <c r="BC23" s="498">
        <v>20</v>
      </c>
      <c r="BD23" s="510">
        <v>25</v>
      </c>
      <c r="BE23" s="527"/>
      <c r="BF23" s="517">
        <f t="shared" si="1"/>
        <v>155</v>
      </c>
      <c r="BG23" s="123"/>
      <c r="BH23" s="287"/>
      <c r="BI23" s="98"/>
      <c r="BJ23" s="123"/>
      <c r="BK23" s="123"/>
      <c r="BL23" s="123"/>
      <c r="BM23" s="123"/>
      <c r="BN23" s="123"/>
      <c r="BO23" s="123"/>
      <c r="BP23" s="123"/>
    </row>
    <row r="24" spans="1:68" ht="57" customHeight="1">
      <c r="A24" s="727"/>
      <c r="B24" s="630"/>
      <c r="C24" s="630"/>
      <c r="D24" s="35"/>
      <c r="E24" s="691"/>
      <c r="F24" s="696"/>
      <c r="G24" s="693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81"/>
      <c r="T24" s="613"/>
      <c r="U24" s="625"/>
      <c r="V24" s="653"/>
      <c r="W24" s="136" t="s">
        <v>31</v>
      </c>
      <c r="X24" s="137" t="s">
        <v>30</v>
      </c>
      <c r="Y24" s="191">
        <v>0</v>
      </c>
      <c r="Z24" s="191"/>
      <c r="AA24" s="256">
        <f t="shared" si="7"/>
        <v>0</v>
      </c>
      <c r="AB24" s="207">
        <f t="shared" si="2"/>
        <v>0</v>
      </c>
      <c r="AC24" s="207">
        <f t="shared" si="3"/>
        <v>0</v>
      </c>
      <c r="AD24" s="207">
        <f t="shared" si="4"/>
        <v>0</v>
      </c>
      <c r="AE24" s="207">
        <f t="shared" si="5"/>
        <v>0</v>
      </c>
      <c r="AF24" s="207" t="str">
        <f t="shared" si="6"/>
        <v>Sin recurso</v>
      </c>
      <c r="AG24" s="207">
        <f t="shared" si="0"/>
        <v>0</v>
      </c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509"/>
      <c r="BE24" s="526"/>
      <c r="BF24" s="516">
        <f t="shared" si="1"/>
        <v>0</v>
      </c>
      <c r="BG24" s="123"/>
      <c r="BH24" s="287"/>
      <c r="BI24" s="123"/>
      <c r="BJ24" s="123"/>
      <c r="BK24" s="123"/>
      <c r="BL24" s="123"/>
      <c r="BM24" s="123"/>
      <c r="BN24" s="123"/>
      <c r="BO24" s="123"/>
      <c r="BP24" s="123"/>
    </row>
    <row r="25" spans="1:68" ht="160.5" customHeight="1">
      <c r="A25" s="727"/>
      <c r="B25" s="630"/>
      <c r="C25" s="630" t="s">
        <v>214</v>
      </c>
      <c r="D25" s="35"/>
      <c r="E25" s="690" t="s">
        <v>281</v>
      </c>
      <c r="F25" s="52" t="s">
        <v>259</v>
      </c>
      <c r="G25" s="440" t="s">
        <v>297</v>
      </c>
      <c r="H25" s="168"/>
      <c r="I25" s="168"/>
      <c r="J25" s="168">
        <v>1</v>
      </c>
      <c r="K25" s="168"/>
      <c r="L25" s="168">
        <v>1</v>
      </c>
      <c r="M25" s="168"/>
      <c r="N25" s="168"/>
      <c r="O25" s="168">
        <v>1</v>
      </c>
      <c r="P25" s="168"/>
      <c r="Q25" s="168"/>
      <c r="R25" s="168">
        <v>1</v>
      </c>
      <c r="S25" s="168"/>
      <c r="T25" s="133" t="s">
        <v>53</v>
      </c>
      <c r="U25" s="427" t="s">
        <v>121</v>
      </c>
      <c r="V25" s="135" t="s">
        <v>129</v>
      </c>
      <c r="W25" s="432">
        <v>530803</v>
      </c>
      <c r="X25" s="80" t="s">
        <v>192</v>
      </c>
      <c r="Y25" s="207">
        <v>70</v>
      </c>
      <c r="Z25" s="332">
        <f>-23.8</f>
        <v>-23.8</v>
      </c>
      <c r="AA25" s="256">
        <f>SUM(Y25+Z25)</f>
        <v>46.2</v>
      </c>
      <c r="AB25" s="207">
        <f t="shared" si="2"/>
        <v>20.399999999999999</v>
      </c>
      <c r="AC25" s="207">
        <f t="shared" si="3"/>
        <v>17.59</v>
      </c>
      <c r="AD25" s="207">
        <f t="shared" si="4"/>
        <v>7.32</v>
      </c>
      <c r="AE25" s="207">
        <f t="shared" si="5"/>
        <v>45.309999999999995</v>
      </c>
      <c r="AF25" s="207">
        <f t="shared" si="6"/>
        <v>0.64728571428571424</v>
      </c>
      <c r="AG25" s="207">
        <f t="shared" si="0"/>
        <v>0.89000000000000767</v>
      </c>
      <c r="AH25" s="257"/>
      <c r="AI25" s="257"/>
      <c r="AJ25" s="257"/>
      <c r="AK25" s="257">
        <v>20.399999999999999</v>
      </c>
      <c r="AL25" s="257">
        <v>20</v>
      </c>
      <c r="AM25" s="257"/>
      <c r="AN25" s="257"/>
      <c r="AO25" s="257"/>
      <c r="AP25" s="257">
        <v>20</v>
      </c>
      <c r="AQ25" s="257"/>
      <c r="AR25" s="257"/>
      <c r="AS25" s="257"/>
      <c r="AT25" s="257"/>
      <c r="AU25" s="498">
        <v>17.59</v>
      </c>
      <c r="AV25" s="257">
        <v>20</v>
      </c>
      <c r="AW25" s="257"/>
      <c r="AX25" s="257"/>
      <c r="AY25" s="257"/>
      <c r="AZ25" s="257"/>
      <c r="BA25" s="257"/>
      <c r="BB25" s="257">
        <v>10</v>
      </c>
      <c r="BC25" s="257"/>
      <c r="BD25" s="510">
        <f>-23.8</f>
        <v>-23.8</v>
      </c>
      <c r="BE25" s="527">
        <v>7.32</v>
      </c>
      <c r="BF25" s="516">
        <f t="shared" si="1"/>
        <v>46.2</v>
      </c>
      <c r="BG25" s="123"/>
      <c r="BH25" s="287"/>
      <c r="BI25" s="123"/>
      <c r="BJ25" s="123"/>
      <c r="BK25" s="123"/>
      <c r="BL25" s="123"/>
      <c r="BM25" s="123"/>
      <c r="BN25" s="123"/>
      <c r="BO25" s="123"/>
      <c r="BP25" s="123"/>
    </row>
    <row r="26" spans="1:68" ht="85.5" customHeight="1">
      <c r="A26" s="727"/>
      <c r="B26" s="630"/>
      <c r="C26" s="630"/>
      <c r="D26" s="35"/>
      <c r="E26" s="690"/>
      <c r="F26" s="422" t="s">
        <v>282</v>
      </c>
      <c r="G26" s="441" t="s">
        <v>298</v>
      </c>
      <c r="H26" s="455"/>
      <c r="I26" s="455">
        <v>1</v>
      </c>
      <c r="J26" s="455"/>
      <c r="K26" s="455"/>
      <c r="L26" s="455"/>
      <c r="M26" s="455"/>
      <c r="N26" s="455"/>
      <c r="O26" s="455"/>
      <c r="P26" s="455"/>
      <c r="Q26" s="455"/>
      <c r="R26" s="455">
        <v>1</v>
      </c>
      <c r="S26" s="455"/>
      <c r="T26" s="133" t="s">
        <v>53</v>
      </c>
      <c r="U26" s="458" t="s">
        <v>352</v>
      </c>
      <c r="V26" s="459" t="s">
        <v>353</v>
      </c>
      <c r="W26" s="460">
        <v>530803</v>
      </c>
      <c r="X26" s="461" t="s">
        <v>192</v>
      </c>
      <c r="Y26" s="207">
        <v>20</v>
      </c>
      <c r="Z26" s="207">
        <f>-20</f>
        <v>-20</v>
      </c>
      <c r="AA26" s="256">
        <f t="shared" ref="AA26:AA34" si="8">SUM(Y26+Z26)</f>
        <v>0</v>
      </c>
      <c r="AB26" s="207">
        <f t="shared" si="2"/>
        <v>0</v>
      </c>
      <c r="AC26" s="207">
        <f t="shared" si="3"/>
        <v>0</v>
      </c>
      <c r="AD26" s="207">
        <f t="shared" si="4"/>
        <v>0</v>
      </c>
      <c r="AE26" s="207">
        <f t="shared" si="5"/>
        <v>0</v>
      </c>
      <c r="AF26" s="207">
        <f t="shared" si="6"/>
        <v>0</v>
      </c>
      <c r="AG26" s="207">
        <f t="shared" si="0"/>
        <v>0</v>
      </c>
      <c r="AH26" s="257"/>
      <c r="AI26" s="257"/>
      <c r="AJ26" s="257">
        <v>10</v>
      </c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>
        <f>10-20</f>
        <v>-10</v>
      </c>
      <c r="BC26" s="257"/>
      <c r="BD26" s="510"/>
      <c r="BE26" s="527"/>
      <c r="BF26" s="516">
        <f t="shared" si="1"/>
        <v>0</v>
      </c>
      <c r="BG26" s="123"/>
      <c r="BH26" s="287"/>
      <c r="BI26" s="123"/>
      <c r="BJ26" s="123"/>
      <c r="BK26" s="123"/>
      <c r="BL26" s="123"/>
      <c r="BM26" s="123"/>
      <c r="BN26" s="123"/>
      <c r="BO26" s="123"/>
      <c r="BP26" s="123"/>
    </row>
    <row r="27" spans="1:68" ht="190.5" customHeight="1">
      <c r="A27" s="727"/>
      <c r="B27" s="630"/>
      <c r="C27" s="35" t="s">
        <v>214</v>
      </c>
      <c r="D27" s="35"/>
      <c r="E27" s="434" t="s">
        <v>141</v>
      </c>
      <c r="F27" s="53" t="s">
        <v>283</v>
      </c>
      <c r="G27" s="440" t="s">
        <v>142</v>
      </c>
      <c r="H27" s="168">
        <v>1</v>
      </c>
      <c r="I27" s="168">
        <v>1</v>
      </c>
      <c r="J27" s="168">
        <v>1</v>
      </c>
      <c r="K27" s="168">
        <v>1</v>
      </c>
      <c r="L27" s="168">
        <v>1</v>
      </c>
      <c r="M27" s="168">
        <v>1</v>
      </c>
      <c r="N27" s="168">
        <v>1</v>
      </c>
      <c r="O27" s="168">
        <v>1</v>
      </c>
      <c r="P27" s="168">
        <v>1</v>
      </c>
      <c r="Q27" s="168">
        <v>1</v>
      </c>
      <c r="R27" s="168">
        <v>1</v>
      </c>
      <c r="S27" s="168">
        <v>1</v>
      </c>
      <c r="T27" s="133" t="s">
        <v>53</v>
      </c>
      <c r="U27" s="427" t="s">
        <v>121</v>
      </c>
      <c r="V27" s="135" t="s">
        <v>129</v>
      </c>
      <c r="W27" s="462">
        <v>530803</v>
      </c>
      <c r="X27" s="144" t="s">
        <v>192</v>
      </c>
      <c r="Y27" s="207">
        <v>240</v>
      </c>
      <c r="Z27" s="207"/>
      <c r="AA27" s="256">
        <f t="shared" si="8"/>
        <v>240</v>
      </c>
      <c r="AB27" s="207">
        <f t="shared" si="2"/>
        <v>145.44999999999999</v>
      </c>
      <c r="AC27" s="207">
        <f t="shared" si="3"/>
        <v>66.679999999999993</v>
      </c>
      <c r="AD27" s="207">
        <f t="shared" si="4"/>
        <v>45.010000000000005</v>
      </c>
      <c r="AE27" s="207">
        <f t="shared" si="5"/>
        <v>257.14</v>
      </c>
      <c r="AF27" s="207">
        <f t="shared" si="6"/>
        <v>1.0714166666666667</v>
      </c>
      <c r="AG27" s="207">
        <f t="shared" si="0"/>
        <v>-17.139999999999986</v>
      </c>
      <c r="AH27" s="257">
        <v>20</v>
      </c>
      <c r="AI27" s="257"/>
      <c r="AJ27" s="257">
        <v>20</v>
      </c>
      <c r="AK27" s="257">
        <v>84.75</v>
      </c>
      <c r="AL27" s="257">
        <v>20</v>
      </c>
      <c r="AM27" s="498">
        <v>14.9</v>
      </c>
      <c r="AN27" s="257">
        <v>20</v>
      </c>
      <c r="AO27" s="498">
        <v>45.8</v>
      </c>
      <c r="AP27" s="257">
        <v>20</v>
      </c>
      <c r="AQ27" s="498">
        <v>9.5500000000000007</v>
      </c>
      <c r="AR27" s="257">
        <v>20</v>
      </c>
      <c r="AS27" s="257"/>
      <c r="AT27" s="257">
        <v>20</v>
      </c>
      <c r="AU27" s="498">
        <v>29</v>
      </c>
      <c r="AV27" s="257">
        <v>20</v>
      </c>
      <c r="AW27" s="498">
        <v>28.13</v>
      </c>
      <c r="AX27" s="257">
        <v>20</v>
      </c>
      <c r="AY27" s="498">
        <v>21.01</v>
      </c>
      <c r="AZ27" s="257">
        <v>20</v>
      </c>
      <c r="BA27" s="498">
        <v>24</v>
      </c>
      <c r="BB27" s="257">
        <v>20</v>
      </c>
      <c r="BC27" s="257"/>
      <c r="BD27" s="510">
        <v>20</v>
      </c>
      <c r="BE27" s="527"/>
      <c r="BF27" s="516">
        <f t="shared" si="1"/>
        <v>240</v>
      </c>
      <c r="BG27" s="123"/>
      <c r="BH27" s="287"/>
      <c r="BI27" s="123"/>
      <c r="BJ27" s="123"/>
      <c r="BK27" s="123"/>
      <c r="BL27" s="123"/>
      <c r="BM27" s="123"/>
      <c r="BN27" s="123"/>
      <c r="BO27" s="123"/>
      <c r="BP27" s="123"/>
    </row>
    <row r="28" spans="1:68" ht="124.5" customHeight="1">
      <c r="A28" s="727"/>
      <c r="B28" s="630"/>
      <c r="C28" s="214" t="s">
        <v>28</v>
      </c>
      <c r="D28" s="630"/>
      <c r="E28" s="691" t="s">
        <v>167</v>
      </c>
      <c r="F28" s="53" t="s">
        <v>284</v>
      </c>
      <c r="G28" s="440" t="s">
        <v>299</v>
      </c>
      <c r="H28" s="168"/>
      <c r="I28" s="168"/>
      <c r="J28" s="168">
        <v>1</v>
      </c>
      <c r="K28" s="168"/>
      <c r="L28" s="168">
        <v>1</v>
      </c>
      <c r="M28" s="168"/>
      <c r="N28" s="168"/>
      <c r="O28" s="168">
        <v>1</v>
      </c>
      <c r="P28" s="168"/>
      <c r="Q28" s="168"/>
      <c r="R28" s="168">
        <v>1</v>
      </c>
      <c r="S28" s="168"/>
      <c r="T28" s="133" t="s">
        <v>53</v>
      </c>
      <c r="U28" s="427" t="s">
        <v>121</v>
      </c>
      <c r="V28" s="135" t="s">
        <v>129</v>
      </c>
      <c r="W28" s="31" t="s">
        <v>199</v>
      </c>
      <c r="X28" s="80" t="s">
        <v>192</v>
      </c>
      <c r="Y28" s="207">
        <v>40</v>
      </c>
      <c r="Z28" s="207">
        <f>-10</f>
        <v>-10</v>
      </c>
      <c r="AA28" s="256">
        <f t="shared" si="8"/>
        <v>30</v>
      </c>
      <c r="AB28" s="207">
        <f t="shared" si="2"/>
        <v>0</v>
      </c>
      <c r="AC28" s="207">
        <f t="shared" si="3"/>
        <v>16.47</v>
      </c>
      <c r="AD28" s="207">
        <f t="shared" si="4"/>
        <v>0</v>
      </c>
      <c r="AE28" s="207">
        <f t="shared" si="5"/>
        <v>16.47</v>
      </c>
      <c r="AF28" s="207">
        <f t="shared" si="6"/>
        <v>0.41174999999999995</v>
      </c>
      <c r="AG28" s="207">
        <f t="shared" si="0"/>
        <v>13.530000000000001</v>
      </c>
      <c r="AH28" s="192"/>
      <c r="AI28" s="192"/>
      <c r="AJ28" s="192"/>
      <c r="AK28" s="192"/>
      <c r="AL28" s="192">
        <v>10</v>
      </c>
      <c r="AM28" s="257"/>
      <c r="AN28" s="192"/>
      <c r="AO28" s="192"/>
      <c r="AP28" s="192"/>
      <c r="AQ28" s="192"/>
      <c r="AR28" s="192">
        <v>10</v>
      </c>
      <c r="AS28" s="192"/>
      <c r="AT28" s="192"/>
      <c r="AU28" s="498">
        <v>16.47</v>
      </c>
      <c r="AV28" s="192"/>
      <c r="AW28" s="192"/>
      <c r="AX28" s="192">
        <v>10</v>
      </c>
      <c r="AY28" s="192"/>
      <c r="AZ28" s="192"/>
      <c r="BA28" s="192"/>
      <c r="BB28" s="192">
        <f>-10</f>
        <v>-10</v>
      </c>
      <c r="BC28" s="192"/>
      <c r="BD28" s="509">
        <v>10</v>
      </c>
      <c r="BE28" s="526"/>
      <c r="BF28" s="516">
        <f t="shared" si="1"/>
        <v>30</v>
      </c>
      <c r="BG28" s="123"/>
      <c r="BH28" s="287"/>
      <c r="BI28" s="123"/>
      <c r="BJ28" s="123"/>
      <c r="BK28" s="123"/>
      <c r="BL28" s="123"/>
      <c r="BM28" s="123"/>
      <c r="BN28" s="123"/>
      <c r="BO28" s="123"/>
      <c r="BP28" s="123"/>
    </row>
    <row r="29" spans="1:68" ht="69" customHeight="1">
      <c r="A29" s="727"/>
      <c r="B29" s="630"/>
      <c r="C29" s="35" t="s">
        <v>28</v>
      </c>
      <c r="D29" s="630"/>
      <c r="E29" s="691"/>
      <c r="F29" s="53" t="s">
        <v>285</v>
      </c>
      <c r="G29" s="38" t="s">
        <v>33</v>
      </c>
      <c r="H29" s="168"/>
      <c r="I29" s="168"/>
      <c r="J29" s="168">
        <v>1</v>
      </c>
      <c r="K29" s="168"/>
      <c r="L29" s="168"/>
      <c r="M29" s="168"/>
      <c r="N29" s="168"/>
      <c r="O29" s="168"/>
      <c r="P29" s="168"/>
      <c r="Q29" s="168"/>
      <c r="R29" s="168"/>
      <c r="S29" s="168"/>
      <c r="T29" s="419" t="s">
        <v>53</v>
      </c>
      <c r="U29" s="427" t="s">
        <v>121</v>
      </c>
      <c r="V29" s="135" t="s">
        <v>129</v>
      </c>
      <c r="W29" s="432">
        <v>530803</v>
      </c>
      <c r="X29" s="80" t="s">
        <v>192</v>
      </c>
      <c r="Y29" s="207">
        <v>27</v>
      </c>
      <c r="Z29" s="207">
        <f>-27</f>
        <v>-27</v>
      </c>
      <c r="AA29" s="256">
        <f t="shared" si="8"/>
        <v>0</v>
      </c>
      <c r="AB29" s="207">
        <f t="shared" si="2"/>
        <v>0</v>
      </c>
      <c r="AC29" s="207">
        <f t="shared" si="3"/>
        <v>0</v>
      </c>
      <c r="AD29" s="207">
        <f t="shared" si="4"/>
        <v>0</v>
      </c>
      <c r="AE29" s="207">
        <f t="shared" si="5"/>
        <v>0</v>
      </c>
      <c r="AF29" s="207">
        <f t="shared" si="6"/>
        <v>0</v>
      </c>
      <c r="AG29" s="207">
        <f t="shared" si="0"/>
        <v>0</v>
      </c>
      <c r="AH29" s="257"/>
      <c r="AI29" s="257"/>
      <c r="AJ29" s="257"/>
      <c r="AK29" s="257"/>
      <c r="AL29" s="257">
        <v>27</v>
      </c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>
        <f>-27</f>
        <v>-27</v>
      </c>
      <c r="BC29" s="257"/>
      <c r="BD29" s="510"/>
      <c r="BE29" s="527"/>
      <c r="BF29" s="517">
        <f t="shared" si="1"/>
        <v>0</v>
      </c>
      <c r="BG29" s="123"/>
      <c r="BH29" s="287"/>
      <c r="BI29" s="123"/>
      <c r="BJ29" s="123"/>
      <c r="BK29" s="123"/>
      <c r="BL29" s="123"/>
      <c r="BM29" s="123"/>
      <c r="BN29" s="123"/>
      <c r="BO29" s="123"/>
      <c r="BP29" s="123"/>
    </row>
    <row r="30" spans="1:68" ht="109.5" customHeight="1">
      <c r="A30" s="727"/>
      <c r="B30" s="630"/>
      <c r="C30" s="35" t="s">
        <v>28</v>
      </c>
      <c r="D30" s="630"/>
      <c r="E30" s="691"/>
      <c r="F30" s="442" t="s">
        <v>286</v>
      </c>
      <c r="G30" s="435" t="s">
        <v>114</v>
      </c>
      <c r="H30" s="431">
        <v>1</v>
      </c>
      <c r="I30" s="168">
        <v>1</v>
      </c>
      <c r="J30" s="168">
        <v>1</v>
      </c>
      <c r="K30" s="168">
        <v>1</v>
      </c>
      <c r="L30" s="168">
        <v>1</v>
      </c>
      <c r="M30" s="168">
        <v>1</v>
      </c>
      <c r="N30" s="168">
        <v>1</v>
      </c>
      <c r="O30" s="168">
        <v>1</v>
      </c>
      <c r="P30" s="168">
        <v>1</v>
      </c>
      <c r="Q30" s="168">
        <v>1</v>
      </c>
      <c r="R30" s="168">
        <v>1</v>
      </c>
      <c r="S30" s="168">
        <v>1</v>
      </c>
      <c r="T30" s="133" t="s">
        <v>53</v>
      </c>
      <c r="U30" s="134" t="s">
        <v>122</v>
      </c>
      <c r="V30" s="138" t="s">
        <v>130</v>
      </c>
      <c r="W30" s="50">
        <v>530803</v>
      </c>
      <c r="X30" s="80" t="s">
        <v>29</v>
      </c>
      <c r="Y30" s="207">
        <v>210</v>
      </c>
      <c r="Z30" s="207">
        <f>-150</f>
        <v>-150</v>
      </c>
      <c r="AA30" s="256">
        <f t="shared" si="8"/>
        <v>60</v>
      </c>
      <c r="AB30" s="207">
        <f t="shared" si="2"/>
        <v>20</v>
      </c>
      <c r="AC30" s="207">
        <f t="shared" si="3"/>
        <v>0</v>
      </c>
      <c r="AD30" s="207">
        <f t="shared" si="4"/>
        <v>22.01</v>
      </c>
      <c r="AE30" s="207">
        <f t="shared" si="5"/>
        <v>42.010000000000005</v>
      </c>
      <c r="AF30" s="207">
        <f t="shared" si="6"/>
        <v>0.20004761904761909</v>
      </c>
      <c r="AG30" s="207">
        <f t="shared" si="0"/>
        <v>17.989999999999995</v>
      </c>
      <c r="AH30" s="257">
        <v>20</v>
      </c>
      <c r="AI30" s="257"/>
      <c r="AJ30" s="257">
        <v>20</v>
      </c>
      <c r="AK30" s="257">
        <v>7.6</v>
      </c>
      <c r="AL30" s="257">
        <v>20</v>
      </c>
      <c r="AM30" s="498">
        <v>12.4</v>
      </c>
      <c r="AN30" s="257">
        <v>20</v>
      </c>
      <c r="AO30" s="257"/>
      <c r="AP30" s="257">
        <v>20</v>
      </c>
      <c r="AQ30" s="257"/>
      <c r="AR30" s="257">
        <v>20</v>
      </c>
      <c r="AS30" s="257"/>
      <c r="AT30" s="257">
        <v>15</v>
      </c>
      <c r="AU30" s="257"/>
      <c r="AV30" s="257">
        <v>15</v>
      </c>
      <c r="AW30" s="257"/>
      <c r="AX30" s="257">
        <v>15</v>
      </c>
      <c r="AY30" s="498">
        <v>22.01</v>
      </c>
      <c r="AZ30" s="257">
        <v>15</v>
      </c>
      <c r="BA30" s="257"/>
      <c r="BB30" s="257">
        <f>15-150</f>
        <v>-135</v>
      </c>
      <c r="BC30" s="257"/>
      <c r="BD30" s="510">
        <v>15</v>
      </c>
      <c r="BE30" s="527"/>
      <c r="BF30" s="516">
        <f t="shared" si="1"/>
        <v>60</v>
      </c>
      <c r="BG30" s="123"/>
      <c r="BH30" s="287"/>
      <c r="BI30" s="123"/>
      <c r="BJ30" s="123"/>
      <c r="BK30" s="123"/>
      <c r="BL30" s="123"/>
      <c r="BM30" s="123"/>
      <c r="BN30" s="123"/>
      <c r="BO30" s="123"/>
      <c r="BP30" s="123"/>
    </row>
    <row r="31" spans="1:68" ht="110.25" customHeight="1">
      <c r="A31" s="727"/>
      <c r="B31" s="630"/>
      <c r="C31" s="214" t="s">
        <v>28</v>
      </c>
      <c r="D31" s="50"/>
      <c r="E31" s="434" t="s">
        <v>168</v>
      </c>
      <c r="F31" s="442" t="s">
        <v>287</v>
      </c>
      <c r="G31" s="433" t="s">
        <v>169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8">
        <v>1</v>
      </c>
      <c r="R31" s="168">
        <v>1</v>
      </c>
      <c r="S31" s="168">
        <v>1</v>
      </c>
      <c r="T31" s="133" t="s">
        <v>53</v>
      </c>
      <c r="U31" s="427" t="s">
        <v>122</v>
      </c>
      <c r="V31" s="428" t="s">
        <v>354</v>
      </c>
      <c r="W31" s="432">
        <v>530803</v>
      </c>
      <c r="X31" s="80" t="s">
        <v>29</v>
      </c>
      <c r="Y31" s="207">
        <v>30</v>
      </c>
      <c r="Z31" s="207">
        <f>-20</f>
        <v>-20</v>
      </c>
      <c r="AA31" s="256">
        <f t="shared" si="8"/>
        <v>10</v>
      </c>
      <c r="AB31" s="207">
        <f t="shared" si="2"/>
        <v>0</v>
      </c>
      <c r="AC31" s="207">
        <f t="shared" si="3"/>
        <v>0</v>
      </c>
      <c r="AD31" s="207">
        <f t="shared" si="4"/>
        <v>0</v>
      </c>
      <c r="AE31" s="207">
        <f t="shared" si="5"/>
        <v>0</v>
      </c>
      <c r="AF31" s="207">
        <f t="shared" si="6"/>
        <v>0</v>
      </c>
      <c r="AG31" s="207">
        <f t="shared" si="0"/>
        <v>10</v>
      </c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>
        <v>10</v>
      </c>
      <c r="BA31" s="257"/>
      <c r="BB31" s="257">
        <f>10-20</f>
        <v>-10</v>
      </c>
      <c r="BC31" s="257"/>
      <c r="BD31" s="510">
        <v>10</v>
      </c>
      <c r="BE31" s="527"/>
      <c r="BF31" s="518">
        <f t="shared" si="1"/>
        <v>10</v>
      </c>
      <c r="BG31" s="123"/>
      <c r="BH31" s="287"/>
      <c r="BI31" s="123"/>
      <c r="BJ31" s="123"/>
      <c r="BK31" s="123"/>
      <c r="BL31" s="123"/>
      <c r="BM31" s="123"/>
      <c r="BN31" s="123"/>
      <c r="BO31" s="123"/>
      <c r="BP31" s="123"/>
    </row>
    <row r="32" spans="1:68" ht="65.25" customHeight="1">
      <c r="A32" s="727"/>
      <c r="B32" s="630"/>
      <c r="C32" s="214" t="s">
        <v>300</v>
      </c>
      <c r="D32" s="630"/>
      <c r="E32" s="691" t="s">
        <v>170</v>
      </c>
      <c r="F32" s="442" t="s">
        <v>288</v>
      </c>
      <c r="G32" s="433" t="s">
        <v>119</v>
      </c>
      <c r="H32" s="168">
        <v>1</v>
      </c>
      <c r="I32" s="168">
        <v>1</v>
      </c>
      <c r="J32" s="168">
        <v>1</v>
      </c>
      <c r="K32" s="168">
        <v>1</v>
      </c>
      <c r="L32" s="168">
        <v>1</v>
      </c>
      <c r="M32" s="168">
        <v>1</v>
      </c>
      <c r="N32" s="168">
        <v>1</v>
      </c>
      <c r="O32" s="168">
        <v>1</v>
      </c>
      <c r="P32" s="168">
        <v>1</v>
      </c>
      <c r="Q32" s="168">
        <v>1</v>
      </c>
      <c r="R32" s="168">
        <v>1</v>
      </c>
      <c r="S32" s="168">
        <v>1</v>
      </c>
      <c r="T32" s="133" t="s">
        <v>53</v>
      </c>
      <c r="U32" s="427" t="s">
        <v>122</v>
      </c>
      <c r="V32" s="428" t="s">
        <v>130</v>
      </c>
      <c r="W32" s="432">
        <v>530803</v>
      </c>
      <c r="X32" s="80" t="s">
        <v>192</v>
      </c>
      <c r="Y32" s="207">
        <v>120</v>
      </c>
      <c r="Z32" s="207">
        <f>-20</f>
        <v>-20</v>
      </c>
      <c r="AA32" s="256">
        <f t="shared" si="8"/>
        <v>100</v>
      </c>
      <c r="AB32" s="207">
        <f t="shared" si="2"/>
        <v>69.5</v>
      </c>
      <c r="AC32" s="207">
        <f t="shared" si="3"/>
        <v>0</v>
      </c>
      <c r="AD32" s="207">
        <f t="shared" si="4"/>
        <v>11</v>
      </c>
      <c r="AE32" s="207">
        <f t="shared" si="5"/>
        <v>80.5</v>
      </c>
      <c r="AF32" s="207">
        <f t="shared" si="6"/>
        <v>0.67083333333333328</v>
      </c>
      <c r="AG32" s="207">
        <f t="shared" si="0"/>
        <v>19.5</v>
      </c>
      <c r="AH32" s="257">
        <v>10</v>
      </c>
      <c r="AI32" s="257"/>
      <c r="AJ32" s="257">
        <v>10</v>
      </c>
      <c r="AK32" s="257"/>
      <c r="AL32" s="257">
        <v>10</v>
      </c>
      <c r="AM32" s="498">
        <v>69.5</v>
      </c>
      <c r="AN32" s="257">
        <v>10</v>
      </c>
      <c r="AO32" s="257"/>
      <c r="AP32" s="257">
        <v>10</v>
      </c>
      <c r="AQ32" s="257"/>
      <c r="AR32" s="257">
        <v>10</v>
      </c>
      <c r="AS32" s="257"/>
      <c r="AT32" s="257">
        <v>10</v>
      </c>
      <c r="AU32" s="257"/>
      <c r="AV32" s="257">
        <v>10</v>
      </c>
      <c r="AW32" s="257"/>
      <c r="AX32" s="257">
        <v>10</v>
      </c>
      <c r="AY32" s="257"/>
      <c r="AZ32" s="257">
        <v>10</v>
      </c>
      <c r="BA32" s="257"/>
      <c r="BB32" s="257">
        <f>10-20</f>
        <v>-10</v>
      </c>
      <c r="BC32" s="498">
        <v>11</v>
      </c>
      <c r="BD32" s="510">
        <v>10</v>
      </c>
      <c r="BE32" s="527"/>
      <c r="BF32" s="516">
        <f t="shared" si="1"/>
        <v>100</v>
      </c>
      <c r="BG32" s="123"/>
      <c r="BH32" s="287"/>
      <c r="BI32" s="123"/>
      <c r="BJ32" s="123"/>
      <c r="BK32" s="123"/>
      <c r="BL32" s="123"/>
      <c r="BM32" s="123"/>
      <c r="BN32" s="123"/>
      <c r="BO32" s="123"/>
      <c r="BP32" s="123"/>
    </row>
    <row r="33" spans="1:68" ht="60.75" customHeight="1">
      <c r="A33" s="727"/>
      <c r="B33" s="630"/>
      <c r="C33" s="214" t="s">
        <v>300</v>
      </c>
      <c r="D33" s="630"/>
      <c r="E33" s="691"/>
      <c r="F33" s="54" t="s">
        <v>289</v>
      </c>
      <c r="G33" s="443" t="s">
        <v>172</v>
      </c>
      <c r="H33" s="168"/>
      <c r="I33" s="168"/>
      <c r="J33" s="168">
        <v>1</v>
      </c>
      <c r="K33" s="168"/>
      <c r="L33" s="168"/>
      <c r="M33" s="168">
        <v>1</v>
      </c>
      <c r="N33" s="168"/>
      <c r="O33" s="168">
        <v>1</v>
      </c>
      <c r="P33" s="168">
        <v>1</v>
      </c>
      <c r="Q33" s="168"/>
      <c r="R33" s="168"/>
      <c r="S33" s="168"/>
      <c r="T33" s="133" t="s">
        <v>53</v>
      </c>
      <c r="U33" s="427" t="s">
        <v>121</v>
      </c>
      <c r="V33" s="135" t="s">
        <v>129</v>
      </c>
      <c r="W33" s="432">
        <v>530803</v>
      </c>
      <c r="X33" s="80" t="s">
        <v>192</v>
      </c>
      <c r="Y33" s="207">
        <v>60</v>
      </c>
      <c r="Z33" s="207">
        <f>-23-31.59</f>
        <v>-54.59</v>
      </c>
      <c r="AA33" s="256">
        <f t="shared" si="8"/>
        <v>5.4099999999999966</v>
      </c>
      <c r="AB33" s="207">
        <f t="shared" si="2"/>
        <v>0</v>
      </c>
      <c r="AC33" s="207">
        <f t="shared" si="3"/>
        <v>0</v>
      </c>
      <c r="AD33" s="207">
        <f t="shared" si="4"/>
        <v>0</v>
      </c>
      <c r="AE33" s="207">
        <f t="shared" si="5"/>
        <v>0</v>
      </c>
      <c r="AF33" s="207">
        <f t="shared" si="6"/>
        <v>0</v>
      </c>
      <c r="AG33" s="207">
        <f t="shared" si="0"/>
        <v>5.4099999999999966</v>
      </c>
      <c r="AH33" s="257"/>
      <c r="AI33" s="257"/>
      <c r="AJ33" s="257"/>
      <c r="AK33" s="257"/>
      <c r="AL33" s="257">
        <v>15</v>
      </c>
      <c r="AM33" s="257"/>
      <c r="AN33" s="257"/>
      <c r="AO33" s="257"/>
      <c r="AP33" s="257"/>
      <c r="AQ33" s="257"/>
      <c r="AR33" s="257">
        <v>15</v>
      </c>
      <c r="AS33" s="257"/>
      <c r="AT33" s="257"/>
      <c r="AU33" s="257"/>
      <c r="AV33" s="257">
        <v>15</v>
      </c>
      <c r="AW33" s="257"/>
      <c r="AX33" s="257">
        <v>15</v>
      </c>
      <c r="AY33" s="257"/>
      <c r="AZ33" s="257"/>
      <c r="BA33" s="257"/>
      <c r="BB33" s="257">
        <f>-23</f>
        <v>-23</v>
      </c>
      <c r="BC33" s="257"/>
      <c r="BD33" s="510">
        <f>-31.59</f>
        <v>-31.59</v>
      </c>
      <c r="BE33" s="527"/>
      <c r="BF33" s="516">
        <f t="shared" si="1"/>
        <v>5.41</v>
      </c>
      <c r="BG33" s="123"/>
      <c r="BH33" s="287"/>
      <c r="BI33" s="123"/>
      <c r="BJ33" s="123"/>
      <c r="BK33" s="123"/>
      <c r="BL33" s="123"/>
      <c r="BM33" s="123"/>
      <c r="BN33" s="123"/>
      <c r="BO33" s="123"/>
      <c r="BP33" s="123"/>
    </row>
    <row r="34" spans="1:68" ht="65.25" customHeight="1">
      <c r="A34" s="727"/>
      <c r="B34" s="630"/>
      <c r="C34" s="214" t="s">
        <v>300</v>
      </c>
      <c r="D34" s="630"/>
      <c r="E34" s="691"/>
      <c r="F34" s="34" t="s">
        <v>290</v>
      </c>
      <c r="G34" s="443" t="s">
        <v>301</v>
      </c>
      <c r="H34" s="168">
        <v>1</v>
      </c>
      <c r="I34" s="168">
        <v>1</v>
      </c>
      <c r="J34" s="168">
        <v>1</v>
      </c>
      <c r="K34" s="168">
        <v>1</v>
      </c>
      <c r="L34" s="168">
        <v>1</v>
      </c>
      <c r="M34" s="168">
        <v>1</v>
      </c>
      <c r="N34" s="168">
        <v>1</v>
      </c>
      <c r="O34" s="168">
        <v>1</v>
      </c>
      <c r="P34" s="168">
        <v>1</v>
      </c>
      <c r="Q34" s="168">
        <v>1</v>
      </c>
      <c r="R34" s="168">
        <v>1</v>
      </c>
      <c r="S34" s="168">
        <v>1</v>
      </c>
      <c r="T34" s="133" t="s">
        <v>53</v>
      </c>
      <c r="U34" s="427" t="s">
        <v>121</v>
      </c>
      <c r="V34" s="135" t="s">
        <v>129</v>
      </c>
      <c r="W34" s="432">
        <v>530803</v>
      </c>
      <c r="X34" s="80" t="s">
        <v>192</v>
      </c>
      <c r="Y34" s="207">
        <v>120</v>
      </c>
      <c r="Z34" s="207">
        <f>-62.21-57.79</f>
        <v>-120</v>
      </c>
      <c r="AA34" s="256">
        <f t="shared" si="8"/>
        <v>0</v>
      </c>
      <c r="AB34" s="207">
        <f t="shared" si="2"/>
        <v>0</v>
      </c>
      <c r="AC34" s="207">
        <f t="shared" si="3"/>
        <v>0</v>
      </c>
      <c r="AD34" s="207">
        <f t="shared" si="4"/>
        <v>0</v>
      </c>
      <c r="AE34" s="207">
        <f t="shared" si="5"/>
        <v>0</v>
      </c>
      <c r="AF34" s="207">
        <f t="shared" si="6"/>
        <v>0</v>
      </c>
      <c r="AG34" s="207">
        <f t="shared" si="0"/>
        <v>0</v>
      </c>
      <c r="AH34" s="257">
        <v>10</v>
      </c>
      <c r="AI34" s="257"/>
      <c r="AJ34" s="257">
        <v>10</v>
      </c>
      <c r="AK34" s="257"/>
      <c r="AL34" s="257">
        <v>10</v>
      </c>
      <c r="AM34" s="257"/>
      <c r="AN34" s="257">
        <v>10</v>
      </c>
      <c r="AO34" s="257"/>
      <c r="AP34" s="257">
        <v>10</v>
      </c>
      <c r="AQ34" s="257"/>
      <c r="AR34" s="257">
        <v>10</v>
      </c>
      <c r="AS34" s="257"/>
      <c r="AT34" s="257">
        <f>10</f>
        <v>10</v>
      </c>
      <c r="AU34" s="257"/>
      <c r="AV34" s="257">
        <f>10-62.21</f>
        <v>-52.21</v>
      </c>
      <c r="AW34" s="257"/>
      <c r="AX34" s="257">
        <v>10</v>
      </c>
      <c r="AY34" s="257"/>
      <c r="AZ34" s="257">
        <v>10</v>
      </c>
      <c r="BA34" s="257"/>
      <c r="BB34" s="257">
        <v>10</v>
      </c>
      <c r="BC34" s="257"/>
      <c r="BD34" s="510">
        <f>10-57.79</f>
        <v>-47.79</v>
      </c>
      <c r="BE34" s="527"/>
      <c r="BF34" s="516">
        <f t="shared" si="1"/>
        <v>0</v>
      </c>
      <c r="BG34" s="123"/>
      <c r="BH34" s="287"/>
      <c r="BI34" s="123"/>
      <c r="BJ34" s="123"/>
      <c r="BK34" s="123"/>
      <c r="BL34" s="123"/>
      <c r="BM34" s="123"/>
      <c r="BN34" s="123"/>
      <c r="BO34" s="123"/>
      <c r="BP34" s="123"/>
    </row>
    <row r="35" spans="1:68" ht="72.75" customHeight="1">
      <c r="A35" s="727"/>
      <c r="B35" s="630"/>
      <c r="C35" s="214" t="s">
        <v>300</v>
      </c>
      <c r="D35" s="630"/>
      <c r="E35" s="691"/>
      <c r="F35" s="34" t="s">
        <v>291</v>
      </c>
      <c r="G35" s="443" t="s">
        <v>302</v>
      </c>
      <c r="H35" s="168"/>
      <c r="I35" s="168"/>
      <c r="J35" s="168">
        <v>1</v>
      </c>
      <c r="K35" s="168"/>
      <c r="L35" s="168"/>
      <c r="M35" s="168">
        <v>1</v>
      </c>
      <c r="N35" s="168"/>
      <c r="O35" s="168"/>
      <c r="P35" s="168">
        <v>1</v>
      </c>
      <c r="Q35" s="168"/>
      <c r="R35" s="168"/>
      <c r="S35" s="168">
        <v>1</v>
      </c>
      <c r="T35" s="133" t="s">
        <v>53</v>
      </c>
      <c r="U35" s="427" t="s">
        <v>121</v>
      </c>
      <c r="V35" s="135" t="s">
        <v>129</v>
      </c>
      <c r="W35" s="432">
        <v>530803</v>
      </c>
      <c r="X35" s="80" t="s">
        <v>192</v>
      </c>
      <c r="Y35" s="207">
        <v>40</v>
      </c>
      <c r="Z35" s="207">
        <f>-40</f>
        <v>-40</v>
      </c>
      <c r="AA35" s="256">
        <f>SUM(Y35+Z35)</f>
        <v>0</v>
      </c>
      <c r="AB35" s="207">
        <f t="shared" si="2"/>
        <v>0</v>
      </c>
      <c r="AC35" s="207">
        <f t="shared" si="3"/>
        <v>0</v>
      </c>
      <c r="AD35" s="207">
        <f t="shared" si="4"/>
        <v>0</v>
      </c>
      <c r="AE35" s="207">
        <f t="shared" si="5"/>
        <v>0</v>
      </c>
      <c r="AF35" s="207">
        <f t="shared" si="6"/>
        <v>0</v>
      </c>
      <c r="AG35" s="207">
        <f t="shared" si="0"/>
        <v>0</v>
      </c>
      <c r="AH35" s="257"/>
      <c r="AI35" s="257"/>
      <c r="AJ35" s="257"/>
      <c r="AK35" s="257"/>
      <c r="AL35" s="257">
        <v>10</v>
      </c>
      <c r="AM35" s="257"/>
      <c r="AN35" s="257"/>
      <c r="AO35" s="257"/>
      <c r="AP35" s="257"/>
      <c r="AQ35" s="257"/>
      <c r="AR35" s="257">
        <v>10</v>
      </c>
      <c r="AS35" s="257"/>
      <c r="AT35" s="257"/>
      <c r="AU35" s="257"/>
      <c r="AV35" s="257"/>
      <c r="AW35" s="257"/>
      <c r="AX35" s="257">
        <v>10</v>
      </c>
      <c r="AY35" s="257"/>
      <c r="AZ35" s="257"/>
      <c r="BA35" s="257"/>
      <c r="BB35" s="257"/>
      <c r="BC35" s="257"/>
      <c r="BD35" s="510">
        <f>10-40</f>
        <v>-30</v>
      </c>
      <c r="BE35" s="527"/>
      <c r="BF35" s="516">
        <f t="shared" si="1"/>
        <v>0</v>
      </c>
      <c r="BG35" s="123"/>
      <c r="BH35" s="287"/>
      <c r="BI35" s="123"/>
      <c r="BJ35" s="123"/>
      <c r="BK35" s="123"/>
      <c r="BL35" s="123"/>
      <c r="BM35" s="123"/>
      <c r="BN35" s="123"/>
      <c r="BO35" s="123"/>
      <c r="BP35" s="123"/>
    </row>
    <row r="36" spans="1:68" ht="67.5" customHeight="1">
      <c r="A36" s="727"/>
      <c r="B36" s="630"/>
      <c r="C36" s="214" t="s">
        <v>300</v>
      </c>
      <c r="D36" s="630"/>
      <c r="E36" s="691"/>
      <c r="F36" s="54" t="s">
        <v>292</v>
      </c>
      <c r="G36" s="443" t="s">
        <v>303</v>
      </c>
      <c r="H36" s="168">
        <v>1</v>
      </c>
      <c r="I36" s="168">
        <v>1</v>
      </c>
      <c r="J36" s="168">
        <v>1</v>
      </c>
      <c r="K36" s="168">
        <v>1</v>
      </c>
      <c r="L36" s="168">
        <v>1</v>
      </c>
      <c r="M36" s="168">
        <v>1</v>
      </c>
      <c r="N36" s="168">
        <v>1</v>
      </c>
      <c r="O36" s="168">
        <v>1</v>
      </c>
      <c r="P36" s="168">
        <v>1</v>
      </c>
      <c r="Q36" s="168">
        <v>1</v>
      </c>
      <c r="R36" s="168">
        <v>1</v>
      </c>
      <c r="S36" s="168">
        <v>1</v>
      </c>
      <c r="T36" s="133" t="s">
        <v>53</v>
      </c>
      <c r="U36" s="427" t="s">
        <v>121</v>
      </c>
      <c r="V36" s="135" t="s">
        <v>129</v>
      </c>
      <c r="W36" s="432">
        <v>530803</v>
      </c>
      <c r="X36" s="80" t="s">
        <v>192</v>
      </c>
      <c r="Y36" s="207">
        <v>60</v>
      </c>
      <c r="Z36" s="207"/>
      <c r="AA36" s="256">
        <f t="shared" si="7"/>
        <v>60</v>
      </c>
      <c r="AB36" s="207">
        <f t="shared" si="2"/>
        <v>17</v>
      </c>
      <c r="AC36" s="207">
        <f t="shared" si="3"/>
        <v>0</v>
      </c>
      <c r="AD36" s="207">
        <f t="shared" si="4"/>
        <v>43</v>
      </c>
      <c r="AE36" s="207">
        <f t="shared" si="5"/>
        <v>60</v>
      </c>
      <c r="AF36" s="207">
        <f t="shared" si="6"/>
        <v>1</v>
      </c>
      <c r="AG36" s="207">
        <f t="shared" si="0"/>
        <v>0</v>
      </c>
      <c r="AH36" s="257">
        <v>5</v>
      </c>
      <c r="AI36" s="257"/>
      <c r="AJ36" s="257">
        <v>5</v>
      </c>
      <c r="AK36" s="257"/>
      <c r="AL36" s="257">
        <v>5</v>
      </c>
      <c r="AM36" s="257"/>
      <c r="AN36" s="257">
        <v>5</v>
      </c>
      <c r="AO36" s="498">
        <v>17</v>
      </c>
      <c r="AP36" s="257">
        <v>5</v>
      </c>
      <c r="AQ36" s="257"/>
      <c r="AR36" s="257">
        <v>5</v>
      </c>
      <c r="AS36" s="257"/>
      <c r="AT36" s="257">
        <v>5</v>
      </c>
      <c r="AU36" s="257"/>
      <c r="AV36" s="257">
        <v>5</v>
      </c>
      <c r="AW36" s="257"/>
      <c r="AX36" s="257">
        <v>5</v>
      </c>
      <c r="AY36" s="257"/>
      <c r="AZ36" s="257">
        <v>5</v>
      </c>
      <c r="BA36" s="257"/>
      <c r="BB36" s="257">
        <v>5</v>
      </c>
      <c r="BC36" s="257"/>
      <c r="BD36" s="510">
        <v>5</v>
      </c>
      <c r="BE36" s="527">
        <v>43</v>
      </c>
      <c r="BF36" s="516">
        <f t="shared" si="1"/>
        <v>60</v>
      </c>
      <c r="BG36" s="123"/>
      <c r="BH36" s="287"/>
      <c r="BI36" s="123"/>
      <c r="BJ36" s="123"/>
      <c r="BK36" s="123"/>
      <c r="BL36" s="123"/>
      <c r="BM36" s="123"/>
      <c r="BN36" s="123"/>
      <c r="BO36" s="123"/>
      <c r="BP36" s="123"/>
    </row>
    <row r="37" spans="1:68" ht="74.25" customHeight="1">
      <c r="A37" s="727"/>
      <c r="B37" s="630"/>
      <c r="C37" s="35" t="s">
        <v>115</v>
      </c>
      <c r="D37" s="35"/>
      <c r="E37" s="691" t="s">
        <v>171</v>
      </c>
      <c r="F37" s="36" t="s">
        <v>304</v>
      </c>
      <c r="G37" s="444" t="s">
        <v>317</v>
      </c>
      <c r="H37" s="168"/>
      <c r="I37" s="168">
        <v>1</v>
      </c>
      <c r="J37" s="168"/>
      <c r="K37" s="168">
        <v>1</v>
      </c>
      <c r="L37" s="168"/>
      <c r="M37" s="168">
        <v>1</v>
      </c>
      <c r="N37" s="168"/>
      <c r="O37" s="168">
        <v>1</v>
      </c>
      <c r="P37" s="168"/>
      <c r="Q37" s="168">
        <v>1</v>
      </c>
      <c r="R37" s="168"/>
      <c r="S37" s="168">
        <v>1</v>
      </c>
      <c r="T37" s="133" t="s">
        <v>53</v>
      </c>
      <c r="U37" s="427" t="s">
        <v>121</v>
      </c>
      <c r="V37" s="135" t="s">
        <v>129</v>
      </c>
      <c r="W37" s="432">
        <v>530803</v>
      </c>
      <c r="X37" s="80" t="s">
        <v>192</v>
      </c>
      <c r="Y37" s="338">
        <v>30</v>
      </c>
      <c r="Z37" s="339"/>
      <c r="AA37" s="256">
        <f t="shared" si="7"/>
        <v>30</v>
      </c>
      <c r="AB37" s="207">
        <f t="shared" si="2"/>
        <v>0</v>
      </c>
      <c r="AC37" s="207">
        <f t="shared" si="3"/>
        <v>0</v>
      </c>
      <c r="AD37" s="207">
        <f t="shared" si="4"/>
        <v>30</v>
      </c>
      <c r="AE37" s="207">
        <f t="shared" si="5"/>
        <v>30</v>
      </c>
      <c r="AF37" s="207">
        <f t="shared" si="6"/>
        <v>1</v>
      </c>
      <c r="AG37" s="207">
        <f t="shared" si="0"/>
        <v>0</v>
      </c>
      <c r="AH37" s="257"/>
      <c r="AI37" s="257"/>
      <c r="AJ37" s="257">
        <v>5</v>
      </c>
      <c r="AK37" s="257"/>
      <c r="AL37" s="257"/>
      <c r="AM37" s="257"/>
      <c r="AN37" s="257">
        <v>5</v>
      </c>
      <c r="AO37" s="257"/>
      <c r="AP37" s="257"/>
      <c r="AQ37" s="257"/>
      <c r="AR37" s="257">
        <v>5</v>
      </c>
      <c r="AS37" s="257"/>
      <c r="AT37" s="257"/>
      <c r="AU37" s="257"/>
      <c r="AV37" s="257">
        <v>5</v>
      </c>
      <c r="AW37" s="257"/>
      <c r="AX37" s="257"/>
      <c r="AY37" s="257"/>
      <c r="AZ37" s="257">
        <v>5</v>
      </c>
      <c r="BA37" s="257"/>
      <c r="BB37" s="257"/>
      <c r="BC37" s="257"/>
      <c r="BD37" s="510">
        <v>5</v>
      </c>
      <c r="BE37" s="527">
        <v>30</v>
      </c>
      <c r="BF37" s="518">
        <f t="shared" si="1"/>
        <v>30</v>
      </c>
      <c r="BG37" s="123"/>
      <c r="BH37" s="287"/>
      <c r="BI37" s="123"/>
      <c r="BJ37" s="123"/>
      <c r="BK37" s="123"/>
      <c r="BL37" s="123"/>
      <c r="BM37" s="123"/>
      <c r="BN37" s="123"/>
      <c r="BO37" s="123"/>
      <c r="BP37" s="123"/>
    </row>
    <row r="38" spans="1:68" ht="54.75" customHeight="1">
      <c r="A38" s="727"/>
      <c r="B38" s="630"/>
      <c r="C38" s="35" t="s">
        <v>115</v>
      </c>
      <c r="D38" s="35"/>
      <c r="E38" s="691"/>
      <c r="F38" s="262" t="s">
        <v>305</v>
      </c>
      <c r="G38" s="179" t="s">
        <v>160</v>
      </c>
      <c r="H38" s="168">
        <v>4</v>
      </c>
      <c r="I38" s="168">
        <v>4</v>
      </c>
      <c r="J38" s="168">
        <v>4</v>
      </c>
      <c r="K38" s="168">
        <v>4</v>
      </c>
      <c r="L38" s="168">
        <v>4</v>
      </c>
      <c r="M38" s="168">
        <v>4</v>
      </c>
      <c r="N38" s="168">
        <v>4</v>
      </c>
      <c r="O38" s="168">
        <v>4</v>
      </c>
      <c r="P38" s="168">
        <v>4</v>
      </c>
      <c r="Q38" s="168">
        <v>4</v>
      </c>
      <c r="R38" s="168">
        <v>4</v>
      </c>
      <c r="S38" s="168">
        <v>4</v>
      </c>
      <c r="T38" s="133" t="s">
        <v>53</v>
      </c>
      <c r="U38" s="427" t="s">
        <v>121</v>
      </c>
      <c r="V38" s="135" t="s">
        <v>129</v>
      </c>
      <c r="W38" s="432">
        <v>530803</v>
      </c>
      <c r="X38" s="80" t="s">
        <v>192</v>
      </c>
      <c r="Y38" s="207">
        <v>120</v>
      </c>
      <c r="Z38" s="207">
        <f>-40</f>
        <v>-40</v>
      </c>
      <c r="AA38" s="256">
        <f>SUM(Y38+Z38)</f>
        <v>80</v>
      </c>
      <c r="AB38" s="207">
        <f t="shared" si="2"/>
        <v>18</v>
      </c>
      <c r="AC38" s="207">
        <f t="shared" si="3"/>
        <v>97</v>
      </c>
      <c r="AD38" s="207">
        <f t="shared" si="4"/>
        <v>14</v>
      </c>
      <c r="AE38" s="207">
        <f t="shared" si="5"/>
        <v>129</v>
      </c>
      <c r="AF38" s="207">
        <f t="shared" si="6"/>
        <v>1.075</v>
      </c>
      <c r="AG38" s="207">
        <f t="shared" si="0"/>
        <v>-49</v>
      </c>
      <c r="AH38" s="257">
        <v>10</v>
      </c>
      <c r="AI38" s="257"/>
      <c r="AJ38" s="257">
        <v>10</v>
      </c>
      <c r="AK38" s="257"/>
      <c r="AL38" s="257">
        <v>10</v>
      </c>
      <c r="AM38" s="498">
        <v>18</v>
      </c>
      <c r="AN38" s="257">
        <v>10</v>
      </c>
      <c r="AO38" s="257"/>
      <c r="AP38" s="257">
        <v>10</v>
      </c>
      <c r="AQ38" s="498">
        <v>22</v>
      </c>
      <c r="AR38" s="257">
        <v>10</v>
      </c>
      <c r="AS38" s="257"/>
      <c r="AT38" s="257">
        <f>10</f>
        <v>10</v>
      </c>
      <c r="AU38" s="498">
        <v>25</v>
      </c>
      <c r="AV38" s="257">
        <f>10-40</f>
        <v>-30</v>
      </c>
      <c r="AW38" s="498">
        <v>50</v>
      </c>
      <c r="AX38" s="257">
        <v>10</v>
      </c>
      <c r="AY38" s="257"/>
      <c r="AZ38" s="257">
        <v>10</v>
      </c>
      <c r="BA38" s="257"/>
      <c r="BB38" s="257">
        <v>10</v>
      </c>
      <c r="BC38" s="498">
        <v>14</v>
      </c>
      <c r="BD38" s="510">
        <v>10</v>
      </c>
      <c r="BE38" s="527"/>
      <c r="BF38" s="518">
        <f t="shared" si="1"/>
        <v>80</v>
      </c>
      <c r="BG38" s="123"/>
      <c r="BH38" s="287"/>
      <c r="BI38" s="123"/>
      <c r="BJ38" s="123"/>
      <c r="BK38" s="123"/>
      <c r="BL38" s="123"/>
      <c r="BM38" s="123"/>
      <c r="BN38" s="123"/>
      <c r="BO38" s="123"/>
      <c r="BP38" s="123"/>
    </row>
    <row r="39" spans="1:68" ht="60">
      <c r="A39" s="727"/>
      <c r="B39" s="630"/>
      <c r="C39" s="35" t="s">
        <v>115</v>
      </c>
      <c r="D39" s="35"/>
      <c r="E39" s="691"/>
      <c r="F39" s="262" t="s">
        <v>306</v>
      </c>
      <c r="G39" s="179" t="s">
        <v>317</v>
      </c>
      <c r="H39" s="168"/>
      <c r="I39" s="168">
        <v>1</v>
      </c>
      <c r="J39" s="168"/>
      <c r="K39" s="168">
        <v>1</v>
      </c>
      <c r="L39" s="168"/>
      <c r="M39" s="168">
        <v>1</v>
      </c>
      <c r="N39" s="168"/>
      <c r="O39" s="168">
        <v>1</v>
      </c>
      <c r="P39" s="168"/>
      <c r="Q39" s="168">
        <v>1</v>
      </c>
      <c r="R39" s="168"/>
      <c r="S39" s="168">
        <v>1</v>
      </c>
      <c r="T39" s="133" t="s">
        <v>53</v>
      </c>
      <c r="U39" s="427" t="s">
        <v>121</v>
      </c>
      <c r="V39" s="135" t="s">
        <v>129</v>
      </c>
      <c r="W39" s="432">
        <v>530803</v>
      </c>
      <c r="X39" s="80" t="s">
        <v>192</v>
      </c>
      <c r="Y39" s="207">
        <v>30</v>
      </c>
      <c r="Z39" s="207"/>
      <c r="AA39" s="256">
        <f t="shared" si="7"/>
        <v>30</v>
      </c>
      <c r="AB39" s="207">
        <f t="shared" si="2"/>
        <v>0</v>
      </c>
      <c r="AC39" s="207">
        <f t="shared" si="3"/>
        <v>0</v>
      </c>
      <c r="AD39" s="207">
        <f t="shared" si="4"/>
        <v>30</v>
      </c>
      <c r="AE39" s="207">
        <f t="shared" si="5"/>
        <v>30</v>
      </c>
      <c r="AF39" s="207">
        <f t="shared" si="6"/>
        <v>1</v>
      </c>
      <c r="AG39" s="207">
        <f t="shared" si="0"/>
        <v>0</v>
      </c>
      <c r="AH39" s="257"/>
      <c r="AI39" s="257"/>
      <c r="AJ39" s="257">
        <v>5</v>
      </c>
      <c r="AK39" s="257"/>
      <c r="AL39" s="257"/>
      <c r="AM39" s="257"/>
      <c r="AN39" s="257">
        <v>5</v>
      </c>
      <c r="AO39" s="257"/>
      <c r="AP39" s="257"/>
      <c r="AQ39" s="257"/>
      <c r="AR39" s="257">
        <v>5</v>
      </c>
      <c r="AS39" s="257"/>
      <c r="AT39" s="257"/>
      <c r="AU39" s="257"/>
      <c r="AV39" s="257">
        <v>5</v>
      </c>
      <c r="AW39" s="257"/>
      <c r="AX39" s="257"/>
      <c r="AY39" s="257"/>
      <c r="AZ39" s="257">
        <v>5</v>
      </c>
      <c r="BA39" s="257"/>
      <c r="BB39" s="257"/>
      <c r="BC39" s="257"/>
      <c r="BD39" s="510">
        <v>5</v>
      </c>
      <c r="BE39" s="527">
        <v>30</v>
      </c>
      <c r="BF39" s="516">
        <f t="shared" si="1"/>
        <v>30</v>
      </c>
      <c r="BG39" s="123"/>
      <c r="BH39" s="287"/>
      <c r="BI39" s="123"/>
      <c r="BJ39" s="123"/>
      <c r="BK39" s="123"/>
      <c r="BL39" s="123"/>
      <c r="BM39" s="123"/>
      <c r="BN39" s="123"/>
      <c r="BO39" s="123"/>
      <c r="BP39" s="123"/>
    </row>
    <row r="40" spans="1:68" ht="51" customHeight="1">
      <c r="A40" s="727"/>
      <c r="B40" s="630"/>
      <c r="C40" s="35" t="s">
        <v>115</v>
      </c>
      <c r="D40" s="35"/>
      <c r="E40" s="691"/>
      <c r="F40" s="36" t="s">
        <v>307</v>
      </c>
      <c r="G40" s="444" t="s">
        <v>317</v>
      </c>
      <c r="H40" s="168"/>
      <c r="I40" s="168">
        <v>1</v>
      </c>
      <c r="J40" s="168"/>
      <c r="K40" s="168">
        <v>1</v>
      </c>
      <c r="L40" s="168"/>
      <c r="M40" s="168">
        <v>1</v>
      </c>
      <c r="N40" s="168"/>
      <c r="O40" s="168">
        <v>1</v>
      </c>
      <c r="P40" s="168"/>
      <c r="Q40" s="168">
        <v>1</v>
      </c>
      <c r="R40" s="168"/>
      <c r="S40" s="168">
        <v>1</v>
      </c>
      <c r="T40" s="133" t="s">
        <v>53</v>
      </c>
      <c r="U40" s="427" t="s">
        <v>121</v>
      </c>
      <c r="V40" s="135" t="s">
        <v>129</v>
      </c>
      <c r="W40" s="432">
        <v>530803</v>
      </c>
      <c r="X40" s="80" t="s">
        <v>192</v>
      </c>
      <c r="Y40" s="207">
        <v>30</v>
      </c>
      <c r="Z40" s="207"/>
      <c r="AA40" s="256">
        <f t="shared" si="7"/>
        <v>30</v>
      </c>
      <c r="AB40" s="207">
        <f t="shared" si="2"/>
        <v>0</v>
      </c>
      <c r="AC40" s="207">
        <f t="shared" si="3"/>
        <v>16</v>
      </c>
      <c r="AD40" s="207">
        <f t="shared" si="4"/>
        <v>14</v>
      </c>
      <c r="AE40" s="207">
        <f t="shared" si="5"/>
        <v>30</v>
      </c>
      <c r="AF40" s="207">
        <f t="shared" si="6"/>
        <v>1</v>
      </c>
      <c r="AG40" s="207">
        <f t="shared" si="0"/>
        <v>0</v>
      </c>
      <c r="AH40" s="257"/>
      <c r="AI40" s="257"/>
      <c r="AJ40" s="257">
        <v>5</v>
      </c>
      <c r="AK40" s="257"/>
      <c r="AL40" s="257"/>
      <c r="AM40" s="257"/>
      <c r="AN40" s="257">
        <v>5</v>
      </c>
      <c r="AO40" s="257"/>
      <c r="AP40" s="257"/>
      <c r="AQ40" s="257"/>
      <c r="AR40" s="257">
        <v>5</v>
      </c>
      <c r="AS40" s="257"/>
      <c r="AT40" s="257"/>
      <c r="AU40" s="498">
        <v>16</v>
      </c>
      <c r="AV40" s="257">
        <v>5</v>
      </c>
      <c r="AW40" s="257"/>
      <c r="AX40" s="257"/>
      <c r="AY40" s="257"/>
      <c r="AZ40" s="257">
        <v>5</v>
      </c>
      <c r="BA40" s="257"/>
      <c r="BB40" s="257"/>
      <c r="BC40" s="257"/>
      <c r="BD40" s="510">
        <v>5</v>
      </c>
      <c r="BE40" s="527">
        <v>14</v>
      </c>
      <c r="BF40" s="516">
        <f t="shared" si="1"/>
        <v>30</v>
      </c>
      <c r="BG40" s="123"/>
      <c r="BH40" s="287"/>
      <c r="BI40" s="123"/>
      <c r="BJ40" s="123"/>
      <c r="BK40" s="123"/>
      <c r="BL40" s="123"/>
      <c r="BM40" s="123"/>
      <c r="BN40" s="123"/>
      <c r="BO40" s="123"/>
      <c r="BP40" s="123"/>
    </row>
    <row r="41" spans="1:68" ht="63" customHeight="1">
      <c r="A41" s="727"/>
      <c r="B41" s="630"/>
      <c r="C41" s="35" t="s">
        <v>115</v>
      </c>
      <c r="D41" s="35"/>
      <c r="E41" s="691"/>
      <c r="F41" s="36" t="s">
        <v>308</v>
      </c>
      <c r="G41" s="444" t="s">
        <v>136</v>
      </c>
      <c r="H41" s="168">
        <v>4</v>
      </c>
      <c r="I41" s="168">
        <v>4</v>
      </c>
      <c r="J41" s="168">
        <v>4</v>
      </c>
      <c r="K41" s="168">
        <v>4</v>
      </c>
      <c r="L41" s="168">
        <v>4</v>
      </c>
      <c r="M41" s="168">
        <v>4</v>
      </c>
      <c r="N41" s="168">
        <v>4</v>
      </c>
      <c r="O41" s="168">
        <v>4</v>
      </c>
      <c r="P41" s="168">
        <v>4</v>
      </c>
      <c r="Q41" s="168">
        <v>4</v>
      </c>
      <c r="R41" s="168">
        <v>4</v>
      </c>
      <c r="S41" s="168">
        <v>4</v>
      </c>
      <c r="T41" s="133" t="s">
        <v>53</v>
      </c>
      <c r="U41" s="427" t="s">
        <v>121</v>
      </c>
      <c r="V41" s="135" t="s">
        <v>129</v>
      </c>
      <c r="W41" s="432">
        <v>530803</v>
      </c>
      <c r="X41" s="80" t="s">
        <v>192</v>
      </c>
      <c r="Y41" s="207">
        <v>60</v>
      </c>
      <c r="Z41" s="207">
        <f>-40</f>
        <v>-40</v>
      </c>
      <c r="AA41" s="256">
        <f>SUM(Y41+Z41)</f>
        <v>20</v>
      </c>
      <c r="AB41" s="207">
        <f t="shared" si="2"/>
        <v>0</v>
      </c>
      <c r="AC41" s="207">
        <f t="shared" si="3"/>
        <v>0</v>
      </c>
      <c r="AD41" s="207">
        <f t="shared" si="4"/>
        <v>20</v>
      </c>
      <c r="AE41" s="207">
        <f t="shared" si="5"/>
        <v>20</v>
      </c>
      <c r="AF41" s="207">
        <f t="shared" si="6"/>
        <v>0.33333333333333331</v>
      </c>
      <c r="AG41" s="207">
        <f>SUM(AA41+AE41)</f>
        <v>40</v>
      </c>
      <c r="AH41" s="192">
        <v>5</v>
      </c>
      <c r="AI41" s="192"/>
      <c r="AJ41" s="192">
        <v>5</v>
      </c>
      <c r="AK41" s="192"/>
      <c r="AL41" s="192">
        <v>5</v>
      </c>
      <c r="AM41" s="192"/>
      <c r="AN41" s="192">
        <v>5</v>
      </c>
      <c r="AO41" s="192"/>
      <c r="AP41" s="192">
        <v>5</v>
      </c>
      <c r="AQ41" s="192"/>
      <c r="AR41" s="192">
        <v>5</v>
      </c>
      <c r="AS41" s="192"/>
      <c r="AT41" s="192">
        <v>5</v>
      </c>
      <c r="AU41" s="192"/>
      <c r="AV41" s="192">
        <v>5</v>
      </c>
      <c r="AW41" s="192"/>
      <c r="AX41" s="192">
        <v>5</v>
      </c>
      <c r="AY41" s="192"/>
      <c r="AZ41" s="192">
        <v>5</v>
      </c>
      <c r="BA41" s="192"/>
      <c r="BB41" s="192">
        <f>5-40</f>
        <v>-35</v>
      </c>
      <c r="BC41" s="192"/>
      <c r="BD41" s="509">
        <v>5</v>
      </c>
      <c r="BE41" s="526">
        <v>20</v>
      </c>
      <c r="BF41" s="516">
        <f t="shared" si="1"/>
        <v>20</v>
      </c>
      <c r="BG41" s="123"/>
      <c r="BH41" s="287"/>
      <c r="BI41" s="123"/>
      <c r="BJ41" s="123"/>
      <c r="BK41" s="123"/>
      <c r="BL41" s="123"/>
      <c r="BM41" s="123"/>
      <c r="BN41" s="123"/>
      <c r="BO41" s="123"/>
      <c r="BP41" s="123"/>
    </row>
    <row r="42" spans="1:68" ht="81.75" customHeight="1">
      <c r="A42" s="727"/>
      <c r="B42" s="630"/>
      <c r="C42" s="35" t="s">
        <v>115</v>
      </c>
      <c r="D42" s="35"/>
      <c r="E42" s="691"/>
      <c r="F42" s="36" t="s">
        <v>309</v>
      </c>
      <c r="G42" s="444" t="s">
        <v>116</v>
      </c>
      <c r="H42" s="168"/>
      <c r="I42" s="168"/>
      <c r="J42" s="168"/>
      <c r="K42" s="168"/>
      <c r="L42" s="168">
        <v>1</v>
      </c>
      <c r="M42" s="168">
        <v>1</v>
      </c>
      <c r="N42" s="168"/>
      <c r="O42" s="168"/>
      <c r="P42" s="168"/>
      <c r="Q42" s="168"/>
      <c r="R42" s="168">
        <v>1</v>
      </c>
      <c r="S42" s="168">
        <v>1</v>
      </c>
      <c r="T42" s="133" t="s">
        <v>53</v>
      </c>
      <c r="U42" s="427" t="s">
        <v>121</v>
      </c>
      <c r="V42" s="135" t="s">
        <v>129</v>
      </c>
      <c r="W42" s="432">
        <v>530803</v>
      </c>
      <c r="X42" s="80" t="s">
        <v>192</v>
      </c>
      <c r="Y42" s="207">
        <v>40</v>
      </c>
      <c r="Z42" s="207"/>
      <c r="AA42" s="256">
        <f t="shared" si="7"/>
        <v>40</v>
      </c>
      <c r="AB42" s="207">
        <f t="shared" si="2"/>
        <v>0</v>
      </c>
      <c r="AC42" s="207">
        <f t="shared" si="3"/>
        <v>0</v>
      </c>
      <c r="AD42" s="207">
        <f t="shared" si="4"/>
        <v>0</v>
      </c>
      <c r="AE42" s="207">
        <f t="shared" si="5"/>
        <v>0</v>
      </c>
      <c r="AF42" s="207">
        <f t="shared" si="6"/>
        <v>0</v>
      </c>
      <c r="AG42" s="207">
        <f t="shared" si="0"/>
        <v>40</v>
      </c>
      <c r="AH42" s="257"/>
      <c r="AI42" s="257"/>
      <c r="AJ42" s="257"/>
      <c r="AK42" s="257"/>
      <c r="AL42" s="257"/>
      <c r="AM42" s="257"/>
      <c r="AN42" s="257"/>
      <c r="AO42" s="257"/>
      <c r="AP42" s="257">
        <v>10</v>
      </c>
      <c r="AQ42" s="257"/>
      <c r="AR42" s="257">
        <v>10</v>
      </c>
      <c r="AS42" s="257"/>
      <c r="AT42" s="257"/>
      <c r="AU42" s="257"/>
      <c r="AV42" s="257"/>
      <c r="AW42" s="257"/>
      <c r="AX42" s="257"/>
      <c r="AY42" s="257"/>
      <c r="AZ42" s="257"/>
      <c r="BA42" s="257"/>
      <c r="BB42" s="257">
        <v>10</v>
      </c>
      <c r="BC42" s="257"/>
      <c r="BD42" s="510">
        <v>10</v>
      </c>
      <c r="BE42" s="527"/>
      <c r="BF42" s="516">
        <f t="shared" si="1"/>
        <v>40</v>
      </c>
      <c r="BG42" s="123"/>
      <c r="BH42" s="287"/>
      <c r="BI42" s="123"/>
      <c r="BJ42" s="123"/>
      <c r="BK42" s="123"/>
      <c r="BL42" s="123"/>
      <c r="BM42" s="123"/>
      <c r="BN42" s="123"/>
      <c r="BO42" s="123"/>
      <c r="BP42" s="123"/>
    </row>
    <row r="43" spans="1:68" ht="71.25" customHeight="1">
      <c r="A43" s="727"/>
      <c r="B43" s="630"/>
      <c r="C43" s="35" t="s">
        <v>115</v>
      </c>
      <c r="D43" s="35"/>
      <c r="E43" s="691"/>
      <c r="F43" s="36" t="s">
        <v>310</v>
      </c>
      <c r="G43" s="444" t="s">
        <v>360</v>
      </c>
      <c r="H43" s="168"/>
      <c r="I43" s="168">
        <v>1</v>
      </c>
      <c r="J43" s="168"/>
      <c r="K43" s="168">
        <v>1</v>
      </c>
      <c r="L43" s="168"/>
      <c r="M43" s="168">
        <v>1</v>
      </c>
      <c r="N43" s="168"/>
      <c r="O43" s="168">
        <v>1</v>
      </c>
      <c r="P43" s="168"/>
      <c r="Q43" s="168">
        <v>1</v>
      </c>
      <c r="R43" s="168"/>
      <c r="S43" s="168">
        <v>1</v>
      </c>
      <c r="T43" s="133" t="s">
        <v>53</v>
      </c>
      <c r="U43" s="427" t="s">
        <v>121</v>
      </c>
      <c r="V43" s="135" t="s">
        <v>129</v>
      </c>
      <c r="W43" s="432">
        <v>530803</v>
      </c>
      <c r="X43" s="80" t="s">
        <v>192</v>
      </c>
      <c r="Y43" s="207">
        <v>30</v>
      </c>
      <c r="Z43" s="207">
        <v>-30</v>
      </c>
      <c r="AA43" s="256">
        <f t="shared" ref="AA43:AA48" si="9">SUM(Y43+Z43)</f>
        <v>0</v>
      </c>
      <c r="AB43" s="207">
        <f t="shared" si="2"/>
        <v>0</v>
      </c>
      <c r="AC43" s="207">
        <f t="shared" si="3"/>
        <v>0</v>
      </c>
      <c r="AD43" s="207">
        <f t="shared" si="4"/>
        <v>0</v>
      </c>
      <c r="AE43" s="207">
        <f t="shared" si="5"/>
        <v>0</v>
      </c>
      <c r="AF43" s="207">
        <f t="shared" si="6"/>
        <v>0</v>
      </c>
      <c r="AG43" s="207">
        <f t="shared" si="0"/>
        <v>0</v>
      </c>
      <c r="AH43" s="257"/>
      <c r="AI43" s="257"/>
      <c r="AJ43" s="257">
        <v>5</v>
      </c>
      <c r="AK43" s="257"/>
      <c r="AL43" s="257"/>
      <c r="AM43" s="257"/>
      <c r="AN43" s="257">
        <v>5</v>
      </c>
      <c r="AO43" s="257"/>
      <c r="AP43" s="257"/>
      <c r="AQ43" s="257"/>
      <c r="AR43" s="257">
        <v>5</v>
      </c>
      <c r="AS43" s="257"/>
      <c r="AT43" s="257"/>
      <c r="AU43" s="257"/>
      <c r="AV43" s="257">
        <v>5</v>
      </c>
      <c r="AW43" s="257"/>
      <c r="AX43" s="257"/>
      <c r="AY43" s="257"/>
      <c r="AZ43" s="257">
        <v>5</v>
      </c>
      <c r="BA43" s="257"/>
      <c r="BB43" s="257">
        <v>-30</v>
      </c>
      <c r="BC43" s="257"/>
      <c r="BD43" s="510">
        <v>5</v>
      </c>
      <c r="BE43" s="527"/>
      <c r="BF43" s="516">
        <f t="shared" si="1"/>
        <v>0</v>
      </c>
      <c r="BG43" s="123"/>
      <c r="BH43" s="287"/>
      <c r="BI43" s="123"/>
      <c r="BJ43" s="123"/>
      <c r="BK43" s="123"/>
      <c r="BL43" s="123"/>
      <c r="BM43" s="123"/>
      <c r="BN43" s="123"/>
      <c r="BO43" s="123"/>
      <c r="BP43" s="123"/>
    </row>
    <row r="44" spans="1:68" ht="65.25" customHeight="1">
      <c r="A44" s="727"/>
      <c r="B44" s="630"/>
      <c r="C44" s="35" t="s">
        <v>115</v>
      </c>
      <c r="D44" s="35"/>
      <c r="E44" s="691"/>
      <c r="F44" s="37" t="s">
        <v>311</v>
      </c>
      <c r="G44" s="444" t="s">
        <v>117</v>
      </c>
      <c r="H44" s="168">
        <v>8</v>
      </c>
      <c r="I44" s="168">
        <v>8</v>
      </c>
      <c r="J44" s="168">
        <v>8</v>
      </c>
      <c r="K44" s="168">
        <v>8</v>
      </c>
      <c r="L44" s="168">
        <v>8</v>
      </c>
      <c r="M44" s="168">
        <v>8</v>
      </c>
      <c r="N44" s="168">
        <v>8</v>
      </c>
      <c r="O44" s="168">
        <v>8</v>
      </c>
      <c r="P44" s="168">
        <v>8</v>
      </c>
      <c r="Q44" s="168">
        <v>8</v>
      </c>
      <c r="R44" s="168">
        <v>8</v>
      </c>
      <c r="S44" s="168">
        <v>8</v>
      </c>
      <c r="T44" s="133" t="s">
        <v>53</v>
      </c>
      <c r="U44" s="427" t="s">
        <v>121</v>
      </c>
      <c r="V44" s="135" t="s">
        <v>129</v>
      </c>
      <c r="W44" s="432">
        <v>530803</v>
      </c>
      <c r="X44" s="80" t="s">
        <v>192</v>
      </c>
      <c r="Y44" s="207">
        <v>60</v>
      </c>
      <c r="Z44" s="207">
        <f>-60</f>
        <v>-60</v>
      </c>
      <c r="AA44" s="256">
        <f t="shared" si="9"/>
        <v>0</v>
      </c>
      <c r="AB44" s="207">
        <f t="shared" si="2"/>
        <v>0</v>
      </c>
      <c r="AC44" s="207">
        <f t="shared" si="3"/>
        <v>0</v>
      </c>
      <c r="AD44" s="207">
        <f t="shared" si="4"/>
        <v>0</v>
      </c>
      <c r="AE44" s="207">
        <f t="shared" si="5"/>
        <v>0</v>
      </c>
      <c r="AF44" s="207">
        <f t="shared" si="6"/>
        <v>0</v>
      </c>
      <c r="AG44" s="207">
        <f t="shared" si="0"/>
        <v>0</v>
      </c>
      <c r="AH44" s="257">
        <v>5</v>
      </c>
      <c r="AI44" s="257"/>
      <c r="AJ44" s="257">
        <v>5</v>
      </c>
      <c r="AK44" s="257"/>
      <c r="AL44" s="257">
        <v>5</v>
      </c>
      <c r="AM44" s="257"/>
      <c r="AN44" s="257">
        <v>5</v>
      </c>
      <c r="AO44" s="257"/>
      <c r="AP44" s="257">
        <v>5</v>
      </c>
      <c r="AQ44" s="257"/>
      <c r="AR44" s="257">
        <v>5</v>
      </c>
      <c r="AS44" s="257"/>
      <c r="AT44" s="257">
        <v>5</v>
      </c>
      <c r="AU44" s="257"/>
      <c r="AV44" s="257">
        <v>5</v>
      </c>
      <c r="AW44" s="257"/>
      <c r="AX44" s="257">
        <v>5</v>
      </c>
      <c r="AY44" s="257"/>
      <c r="AZ44" s="257">
        <v>5</v>
      </c>
      <c r="BA44" s="257"/>
      <c r="BB44" s="257">
        <f>5-60</f>
        <v>-55</v>
      </c>
      <c r="BC44" s="257"/>
      <c r="BD44" s="510">
        <v>5</v>
      </c>
      <c r="BE44" s="527"/>
      <c r="BF44" s="518">
        <f t="shared" si="1"/>
        <v>0</v>
      </c>
      <c r="BG44" s="123"/>
      <c r="BH44" s="287"/>
      <c r="BI44" s="123"/>
      <c r="BJ44" s="123"/>
      <c r="BK44" s="123"/>
      <c r="BL44" s="123"/>
      <c r="BM44" s="123"/>
      <c r="BN44" s="123"/>
      <c r="BO44" s="123"/>
      <c r="BP44" s="123"/>
    </row>
    <row r="45" spans="1:68" ht="58.5" customHeight="1">
      <c r="A45" s="727"/>
      <c r="B45" s="630"/>
      <c r="C45" s="35" t="s">
        <v>115</v>
      </c>
      <c r="D45" s="35"/>
      <c r="E45" s="691"/>
      <c r="F45" s="36" t="s">
        <v>312</v>
      </c>
      <c r="G45" s="444" t="s">
        <v>118</v>
      </c>
      <c r="H45" s="168">
        <v>3</v>
      </c>
      <c r="I45" s="168">
        <v>3</v>
      </c>
      <c r="J45" s="168">
        <v>3</v>
      </c>
      <c r="K45" s="168">
        <v>3</v>
      </c>
      <c r="L45" s="168">
        <v>3</v>
      </c>
      <c r="M45" s="168">
        <v>3</v>
      </c>
      <c r="N45" s="168">
        <v>3</v>
      </c>
      <c r="O45" s="168">
        <v>3</v>
      </c>
      <c r="P45" s="168">
        <v>3</v>
      </c>
      <c r="Q45" s="168">
        <v>3</v>
      </c>
      <c r="R45" s="168">
        <v>3</v>
      </c>
      <c r="S45" s="168">
        <v>3</v>
      </c>
      <c r="T45" s="133" t="s">
        <v>53</v>
      </c>
      <c r="U45" s="427" t="s">
        <v>121</v>
      </c>
      <c r="V45" s="135" t="s">
        <v>129</v>
      </c>
      <c r="W45" s="432">
        <v>530803</v>
      </c>
      <c r="X45" s="80" t="s">
        <v>192</v>
      </c>
      <c r="Y45" s="207">
        <v>120</v>
      </c>
      <c r="Z45" s="207">
        <v>-60</v>
      </c>
      <c r="AA45" s="256">
        <f t="shared" si="9"/>
        <v>60</v>
      </c>
      <c r="AB45" s="207">
        <f t="shared" si="2"/>
        <v>0</v>
      </c>
      <c r="AC45" s="207">
        <f t="shared" si="3"/>
        <v>43</v>
      </c>
      <c r="AD45" s="207">
        <f t="shared" si="4"/>
        <v>0</v>
      </c>
      <c r="AE45" s="207">
        <f t="shared" si="5"/>
        <v>43</v>
      </c>
      <c r="AF45" s="207">
        <f t="shared" si="6"/>
        <v>0.35833333333333334</v>
      </c>
      <c r="AG45" s="207">
        <f t="shared" si="0"/>
        <v>17</v>
      </c>
      <c r="AH45" s="257">
        <v>10</v>
      </c>
      <c r="AI45" s="257"/>
      <c r="AJ45" s="257">
        <v>10</v>
      </c>
      <c r="AK45" s="257"/>
      <c r="AL45" s="257">
        <v>10</v>
      </c>
      <c r="AM45" s="257"/>
      <c r="AN45" s="257">
        <v>10</v>
      </c>
      <c r="AO45" s="257"/>
      <c r="AP45" s="257">
        <v>10</v>
      </c>
      <c r="AQ45" s="257"/>
      <c r="AR45" s="257">
        <v>10</v>
      </c>
      <c r="AS45" s="257"/>
      <c r="AT45" s="257">
        <v>10</v>
      </c>
      <c r="AU45" s="257"/>
      <c r="AV45" s="257">
        <v>10</v>
      </c>
      <c r="AW45" s="498">
        <v>43</v>
      </c>
      <c r="AX45" s="257">
        <v>10</v>
      </c>
      <c r="AY45" s="257"/>
      <c r="AZ45" s="257">
        <v>10</v>
      </c>
      <c r="BA45" s="257"/>
      <c r="BB45" s="257">
        <f>10-60</f>
        <v>-50</v>
      </c>
      <c r="BC45" s="257"/>
      <c r="BD45" s="510">
        <v>10</v>
      </c>
      <c r="BE45" s="527"/>
      <c r="BF45" s="518">
        <f t="shared" ref="BF45:BF77" si="10">SUM(AH45,AJ45,AL45,AN45,AP45,AR45,AT45,AV45,AX45,AZ45,BB45,BD45)</f>
        <v>60</v>
      </c>
      <c r="BG45" s="123"/>
      <c r="BH45" s="287"/>
      <c r="BI45" s="123"/>
      <c r="BJ45" s="123"/>
      <c r="BK45" s="123"/>
      <c r="BL45" s="123"/>
      <c r="BM45" s="123"/>
      <c r="BN45" s="123"/>
      <c r="BO45" s="123"/>
      <c r="BP45" s="123"/>
    </row>
    <row r="46" spans="1:68" ht="60" customHeight="1">
      <c r="A46" s="727"/>
      <c r="B46" s="630"/>
      <c r="C46" s="35" t="s">
        <v>115</v>
      </c>
      <c r="D46" s="35"/>
      <c r="E46" s="691"/>
      <c r="F46" s="37" t="s">
        <v>313</v>
      </c>
      <c r="G46" s="444" t="s">
        <v>318</v>
      </c>
      <c r="H46" s="168"/>
      <c r="I46" s="168"/>
      <c r="J46" s="168"/>
      <c r="K46" s="168">
        <v>1</v>
      </c>
      <c r="L46" s="168">
        <v>1</v>
      </c>
      <c r="M46" s="168">
        <v>1</v>
      </c>
      <c r="N46" s="168">
        <v>1</v>
      </c>
      <c r="O46" s="168">
        <v>1</v>
      </c>
      <c r="P46" s="168">
        <v>1</v>
      </c>
      <c r="Q46" s="168">
        <v>1</v>
      </c>
      <c r="R46" s="168">
        <v>1</v>
      </c>
      <c r="S46" s="168">
        <v>1</v>
      </c>
      <c r="T46" s="133" t="s">
        <v>53</v>
      </c>
      <c r="U46" s="427" t="s">
        <v>121</v>
      </c>
      <c r="V46" s="135" t="s">
        <v>129</v>
      </c>
      <c r="W46" s="432">
        <v>530803</v>
      </c>
      <c r="X46" s="80" t="s">
        <v>192</v>
      </c>
      <c r="Y46" s="207">
        <v>90</v>
      </c>
      <c r="Z46" s="207">
        <f>-30</f>
        <v>-30</v>
      </c>
      <c r="AA46" s="256">
        <f t="shared" si="9"/>
        <v>60</v>
      </c>
      <c r="AB46" s="207">
        <f t="shared" si="2"/>
        <v>0</v>
      </c>
      <c r="AC46" s="207">
        <f t="shared" si="3"/>
        <v>0</v>
      </c>
      <c r="AD46" s="207">
        <f t="shared" si="4"/>
        <v>35</v>
      </c>
      <c r="AE46" s="207">
        <f t="shared" si="5"/>
        <v>35</v>
      </c>
      <c r="AF46" s="207">
        <f t="shared" si="6"/>
        <v>0.3888888888888889</v>
      </c>
      <c r="AG46" s="207">
        <f t="shared" si="0"/>
        <v>25</v>
      </c>
      <c r="AH46" s="257"/>
      <c r="AI46" s="257"/>
      <c r="AJ46" s="257"/>
      <c r="AK46" s="257"/>
      <c r="AL46" s="257"/>
      <c r="AM46" s="257"/>
      <c r="AN46" s="257">
        <v>10</v>
      </c>
      <c r="AO46" s="257"/>
      <c r="AP46" s="257">
        <v>10</v>
      </c>
      <c r="AQ46" s="257"/>
      <c r="AR46" s="257">
        <v>10</v>
      </c>
      <c r="AS46" s="257"/>
      <c r="AT46" s="257">
        <v>10</v>
      </c>
      <c r="AU46" s="257"/>
      <c r="AV46" s="257">
        <v>10</v>
      </c>
      <c r="AW46" s="257"/>
      <c r="AX46" s="257">
        <v>10</v>
      </c>
      <c r="AY46" s="498">
        <v>15</v>
      </c>
      <c r="AZ46" s="257">
        <v>10</v>
      </c>
      <c r="BA46" s="257"/>
      <c r="BB46" s="257">
        <f>10-30</f>
        <v>-20</v>
      </c>
      <c r="BC46" s="498">
        <v>20</v>
      </c>
      <c r="BD46" s="510">
        <v>10</v>
      </c>
      <c r="BE46" s="527"/>
      <c r="BF46" s="516">
        <f t="shared" si="10"/>
        <v>60</v>
      </c>
      <c r="BG46" s="123"/>
      <c r="BH46" s="287"/>
      <c r="BI46" s="123"/>
      <c r="BJ46" s="123"/>
      <c r="BK46" s="123"/>
      <c r="BL46" s="123"/>
      <c r="BM46" s="123"/>
      <c r="BN46" s="123"/>
      <c r="BO46" s="123"/>
      <c r="BP46" s="123"/>
    </row>
    <row r="47" spans="1:68" ht="61.5" customHeight="1">
      <c r="A47" s="727"/>
      <c r="B47" s="630"/>
      <c r="C47" s="35" t="s">
        <v>115</v>
      </c>
      <c r="D47" s="35"/>
      <c r="E47" s="691"/>
      <c r="F47" s="37" t="s">
        <v>314</v>
      </c>
      <c r="G47" s="444" t="s">
        <v>134</v>
      </c>
      <c r="H47" s="168">
        <v>1</v>
      </c>
      <c r="I47" s="168">
        <v>1</v>
      </c>
      <c r="J47" s="168">
        <v>1</v>
      </c>
      <c r="K47" s="168">
        <v>1</v>
      </c>
      <c r="L47" s="168">
        <v>1</v>
      </c>
      <c r="M47" s="168">
        <v>1</v>
      </c>
      <c r="N47" s="168">
        <v>1</v>
      </c>
      <c r="O47" s="168">
        <v>1</v>
      </c>
      <c r="P47" s="168">
        <v>1</v>
      </c>
      <c r="Q47" s="168">
        <v>1</v>
      </c>
      <c r="R47" s="168">
        <v>1</v>
      </c>
      <c r="S47" s="168">
        <v>1</v>
      </c>
      <c r="T47" s="133" t="s">
        <v>53</v>
      </c>
      <c r="U47" s="427" t="s">
        <v>121</v>
      </c>
      <c r="V47" s="135" t="s">
        <v>129</v>
      </c>
      <c r="W47" s="432">
        <v>530803</v>
      </c>
      <c r="X47" s="80" t="s">
        <v>192</v>
      </c>
      <c r="Y47" s="207">
        <v>120</v>
      </c>
      <c r="Z47" s="207">
        <f>-40-80</f>
        <v>-120</v>
      </c>
      <c r="AA47" s="256">
        <f t="shared" si="9"/>
        <v>0</v>
      </c>
      <c r="AB47" s="207">
        <f t="shared" si="2"/>
        <v>0</v>
      </c>
      <c r="AC47" s="207">
        <f t="shared" si="3"/>
        <v>0</v>
      </c>
      <c r="AD47" s="207">
        <f t="shared" si="4"/>
        <v>0</v>
      </c>
      <c r="AE47" s="207">
        <f t="shared" si="5"/>
        <v>0</v>
      </c>
      <c r="AF47" s="207">
        <f t="shared" si="6"/>
        <v>0</v>
      </c>
      <c r="AG47" s="207">
        <f t="shared" si="0"/>
        <v>0</v>
      </c>
      <c r="AH47" s="257">
        <v>10</v>
      </c>
      <c r="AI47" s="257"/>
      <c r="AJ47" s="257">
        <v>10</v>
      </c>
      <c r="AK47" s="257"/>
      <c r="AL47" s="257">
        <v>10</v>
      </c>
      <c r="AM47" s="257"/>
      <c r="AN47" s="257">
        <v>10</v>
      </c>
      <c r="AO47" s="257"/>
      <c r="AP47" s="257">
        <v>10</v>
      </c>
      <c r="AQ47" s="257"/>
      <c r="AR47" s="257">
        <v>10</v>
      </c>
      <c r="AS47" s="257"/>
      <c r="AT47" s="257">
        <f>10</f>
        <v>10</v>
      </c>
      <c r="AU47" s="257"/>
      <c r="AV47" s="257">
        <f>10-40</f>
        <v>-30</v>
      </c>
      <c r="AW47" s="257"/>
      <c r="AX47" s="257">
        <v>10</v>
      </c>
      <c r="AY47" s="257"/>
      <c r="AZ47" s="257">
        <v>10</v>
      </c>
      <c r="BA47" s="257"/>
      <c r="BB47" s="257">
        <f>10-80</f>
        <v>-70</v>
      </c>
      <c r="BC47" s="257"/>
      <c r="BD47" s="510">
        <v>10</v>
      </c>
      <c r="BE47" s="527"/>
      <c r="BF47" s="516">
        <f t="shared" si="10"/>
        <v>0</v>
      </c>
      <c r="BG47" s="123"/>
      <c r="BH47" s="287"/>
      <c r="BI47" s="123"/>
      <c r="BJ47" s="123"/>
      <c r="BK47" s="123"/>
      <c r="BL47" s="123"/>
      <c r="BM47" s="123"/>
      <c r="BN47" s="123"/>
      <c r="BO47" s="123"/>
      <c r="BP47" s="123"/>
    </row>
    <row r="48" spans="1:68" ht="82.5" customHeight="1">
      <c r="A48" s="727"/>
      <c r="B48" s="630"/>
      <c r="C48" s="35" t="s">
        <v>115</v>
      </c>
      <c r="D48" s="35"/>
      <c r="E48" s="691"/>
      <c r="F48" s="436" t="s">
        <v>315</v>
      </c>
      <c r="G48" s="445" t="s">
        <v>317</v>
      </c>
      <c r="H48" s="455"/>
      <c r="I48" s="455">
        <v>1</v>
      </c>
      <c r="J48" s="455"/>
      <c r="K48" s="455">
        <v>1</v>
      </c>
      <c r="L48" s="455"/>
      <c r="M48" s="455">
        <v>1</v>
      </c>
      <c r="N48" s="455"/>
      <c r="O48" s="455">
        <v>1</v>
      </c>
      <c r="P48" s="455"/>
      <c r="Q48" s="455">
        <v>1</v>
      </c>
      <c r="R48" s="455"/>
      <c r="S48" s="455">
        <v>1</v>
      </c>
      <c r="T48" s="133" t="s">
        <v>53</v>
      </c>
      <c r="U48" s="458" t="s">
        <v>355</v>
      </c>
      <c r="V48" s="459" t="s">
        <v>356</v>
      </c>
      <c r="W48" s="460">
        <v>530803</v>
      </c>
      <c r="X48" s="461" t="s">
        <v>192</v>
      </c>
      <c r="Y48" s="207">
        <v>30</v>
      </c>
      <c r="Z48" s="212"/>
      <c r="AA48" s="256">
        <f t="shared" si="9"/>
        <v>30</v>
      </c>
      <c r="AB48" s="207">
        <f t="shared" si="2"/>
        <v>0</v>
      </c>
      <c r="AC48" s="207">
        <f t="shared" si="3"/>
        <v>0</v>
      </c>
      <c r="AD48" s="207">
        <f t="shared" si="4"/>
        <v>0</v>
      </c>
      <c r="AE48" s="207">
        <f t="shared" si="5"/>
        <v>0</v>
      </c>
      <c r="AF48" s="207">
        <f t="shared" si="6"/>
        <v>0</v>
      </c>
      <c r="AG48" s="207">
        <f t="shared" si="0"/>
        <v>30</v>
      </c>
      <c r="AH48" s="257"/>
      <c r="AI48" s="257"/>
      <c r="AJ48" s="257">
        <v>5</v>
      </c>
      <c r="AK48" s="257"/>
      <c r="AL48" s="257"/>
      <c r="AM48" s="257"/>
      <c r="AN48" s="257">
        <v>5</v>
      </c>
      <c r="AO48" s="257"/>
      <c r="AP48" s="257"/>
      <c r="AQ48" s="257"/>
      <c r="AR48" s="257">
        <v>5</v>
      </c>
      <c r="AS48" s="257"/>
      <c r="AT48" s="257"/>
      <c r="AU48" s="257"/>
      <c r="AV48" s="257">
        <v>5</v>
      </c>
      <c r="AW48" s="257"/>
      <c r="AX48" s="257"/>
      <c r="AY48" s="257"/>
      <c r="AZ48" s="468">
        <v>5</v>
      </c>
      <c r="BA48" s="331"/>
      <c r="BB48" s="331"/>
      <c r="BC48" s="257"/>
      <c r="BD48" s="511">
        <v>5</v>
      </c>
      <c r="BE48" s="527"/>
      <c r="BF48" s="519">
        <f>SUM(AH48,AJ48,AL48,AN48,AP48,AR48,AT48,AV48,AX48,AZ48,BB48,BD48)</f>
        <v>30</v>
      </c>
      <c r="BG48" s="341">
        <f>+BF48-AA48</f>
        <v>0</v>
      </c>
      <c r="BH48" s="287"/>
      <c r="BI48" s="123"/>
      <c r="BJ48" s="123"/>
      <c r="BK48" s="123"/>
      <c r="BL48" s="123"/>
      <c r="BM48" s="123"/>
      <c r="BN48" s="123"/>
      <c r="BO48" s="123"/>
      <c r="BP48" s="123"/>
    </row>
    <row r="49" spans="1:68" ht="74.25" customHeight="1">
      <c r="A49" s="727"/>
      <c r="B49" s="630"/>
      <c r="C49" s="35" t="s">
        <v>115</v>
      </c>
      <c r="D49" s="35"/>
      <c r="E49" s="691"/>
      <c r="F49" s="37" t="s">
        <v>316</v>
      </c>
      <c r="G49" s="444" t="s">
        <v>361</v>
      </c>
      <c r="H49" s="168"/>
      <c r="I49" s="168">
        <v>1</v>
      </c>
      <c r="J49" s="168">
        <v>1</v>
      </c>
      <c r="K49" s="168">
        <v>1</v>
      </c>
      <c r="L49" s="168">
        <v>1</v>
      </c>
      <c r="M49" s="168">
        <v>1</v>
      </c>
      <c r="N49" s="168">
        <v>1</v>
      </c>
      <c r="O49" s="168">
        <v>1</v>
      </c>
      <c r="P49" s="168">
        <v>1</v>
      </c>
      <c r="Q49" s="168">
        <v>1</v>
      </c>
      <c r="R49" s="168">
        <v>1</v>
      </c>
      <c r="S49" s="168">
        <v>1</v>
      </c>
      <c r="T49" s="133" t="s">
        <v>53</v>
      </c>
      <c r="U49" s="427" t="s">
        <v>121</v>
      </c>
      <c r="V49" s="135" t="s">
        <v>129</v>
      </c>
      <c r="W49" s="432">
        <v>530803</v>
      </c>
      <c r="X49" s="80" t="s">
        <v>192</v>
      </c>
      <c r="Y49" s="191">
        <v>55</v>
      </c>
      <c r="Z49" s="191"/>
      <c r="AA49" s="256">
        <f t="shared" si="7"/>
        <v>55</v>
      </c>
      <c r="AB49" s="207">
        <f t="shared" si="2"/>
        <v>0</v>
      </c>
      <c r="AC49" s="207">
        <f t="shared" si="3"/>
        <v>0</v>
      </c>
      <c r="AD49" s="207">
        <f t="shared" si="4"/>
        <v>0</v>
      </c>
      <c r="AE49" s="207">
        <f t="shared" si="5"/>
        <v>0</v>
      </c>
      <c r="AF49" s="207">
        <f t="shared" si="6"/>
        <v>0</v>
      </c>
      <c r="AG49" s="207">
        <f t="shared" si="0"/>
        <v>55</v>
      </c>
      <c r="AH49" s="192"/>
      <c r="AI49" s="192"/>
      <c r="AJ49" s="192">
        <v>5</v>
      </c>
      <c r="AK49" s="192"/>
      <c r="AL49" s="192">
        <v>5</v>
      </c>
      <c r="AM49" s="192"/>
      <c r="AN49" s="192">
        <v>5</v>
      </c>
      <c r="AO49" s="192"/>
      <c r="AP49" s="192">
        <v>5</v>
      </c>
      <c r="AQ49" s="192"/>
      <c r="AR49" s="192">
        <v>5</v>
      </c>
      <c r="AS49" s="192"/>
      <c r="AT49" s="192">
        <v>5</v>
      </c>
      <c r="AU49" s="192"/>
      <c r="AV49" s="192">
        <v>5</v>
      </c>
      <c r="AW49" s="192"/>
      <c r="AX49" s="192">
        <v>5</v>
      </c>
      <c r="AY49" s="192"/>
      <c r="AZ49" s="192">
        <v>5</v>
      </c>
      <c r="BA49" s="467"/>
      <c r="BB49" s="192">
        <v>5</v>
      </c>
      <c r="BC49" s="192"/>
      <c r="BD49" s="509">
        <v>5</v>
      </c>
      <c r="BE49" s="526"/>
      <c r="BF49" s="516">
        <f t="shared" si="10"/>
        <v>55</v>
      </c>
      <c r="BG49" s="123"/>
      <c r="BH49" s="287"/>
      <c r="BI49" s="123"/>
      <c r="BJ49" s="123"/>
      <c r="BK49" s="123"/>
      <c r="BL49" s="123"/>
      <c r="BM49" s="123"/>
      <c r="BN49" s="123"/>
      <c r="BO49" s="123"/>
      <c r="BP49" s="123"/>
    </row>
    <row r="50" spans="1:68" ht="96.75" customHeight="1">
      <c r="A50" s="727"/>
      <c r="B50" s="630"/>
      <c r="C50" s="35" t="s">
        <v>178</v>
      </c>
      <c r="D50" s="35"/>
      <c r="E50" s="719" t="s">
        <v>188</v>
      </c>
      <c r="F50" s="139" t="s">
        <v>319</v>
      </c>
      <c r="G50" s="77" t="s">
        <v>362</v>
      </c>
      <c r="H50" s="168"/>
      <c r="I50" s="168">
        <v>1</v>
      </c>
      <c r="J50" s="168">
        <v>1</v>
      </c>
      <c r="K50" s="168"/>
      <c r="L50" s="168"/>
      <c r="M50" s="168">
        <v>1</v>
      </c>
      <c r="N50" s="168"/>
      <c r="O50" s="168"/>
      <c r="P50" s="168">
        <v>1</v>
      </c>
      <c r="Q50" s="168"/>
      <c r="R50" s="168">
        <v>1</v>
      </c>
      <c r="S50" s="168"/>
      <c r="T50" s="133" t="s">
        <v>53</v>
      </c>
      <c r="U50" s="427" t="s">
        <v>123</v>
      </c>
      <c r="V50" s="428" t="s">
        <v>132</v>
      </c>
      <c r="W50" s="180">
        <v>530204</v>
      </c>
      <c r="X50" s="141" t="s">
        <v>35</v>
      </c>
      <c r="Y50" s="191">
        <v>624</v>
      </c>
      <c r="Z50" s="191">
        <f>(-577.45)</f>
        <v>-577.45000000000005</v>
      </c>
      <c r="AA50" s="256">
        <f>SUM(Y50+Z50)</f>
        <v>46.549999999999955</v>
      </c>
      <c r="AB50" s="207">
        <f t="shared" si="2"/>
        <v>46.55</v>
      </c>
      <c r="AC50" s="207">
        <f t="shared" si="3"/>
        <v>0</v>
      </c>
      <c r="AD50" s="207">
        <f t="shared" si="4"/>
        <v>0</v>
      </c>
      <c r="AE50" s="207">
        <f t="shared" si="5"/>
        <v>46.55</v>
      </c>
      <c r="AF50" s="207">
        <f t="shared" si="6"/>
        <v>7.4599358974358973E-2</v>
      </c>
      <c r="AG50" s="207">
        <f t="shared" si="0"/>
        <v>-4.2632564145606011E-14</v>
      </c>
      <c r="AH50" s="192"/>
      <c r="AI50" s="192"/>
      <c r="AJ50" s="192">
        <v>150</v>
      </c>
      <c r="AK50" s="192">
        <v>36</v>
      </c>
      <c r="AL50" s="192">
        <v>118.5</v>
      </c>
      <c r="AM50" s="192">
        <v>10.55</v>
      </c>
      <c r="AN50" s="192"/>
      <c r="AO50" s="192"/>
      <c r="AP50" s="192">
        <f>(-577.45)</f>
        <v>-577.45000000000005</v>
      </c>
      <c r="AQ50" s="192"/>
      <c r="AR50" s="192">
        <v>118.5</v>
      </c>
      <c r="AS50" s="192"/>
      <c r="AT50" s="192"/>
      <c r="AU50" s="192"/>
      <c r="AV50" s="192"/>
      <c r="AW50" s="192"/>
      <c r="AX50" s="192">
        <v>118.5</v>
      </c>
      <c r="AY50" s="192"/>
      <c r="AZ50" s="192"/>
      <c r="BA50" s="192"/>
      <c r="BB50" s="192">
        <v>118.5</v>
      </c>
      <c r="BC50" s="192"/>
      <c r="BD50" s="509"/>
      <c r="BE50" s="526"/>
      <c r="BF50" s="516">
        <f t="shared" si="10"/>
        <v>46.549999999999955</v>
      </c>
      <c r="BG50" s="123"/>
      <c r="BH50" s="287"/>
      <c r="BI50" s="123"/>
      <c r="BJ50" s="123"/>
      <c r="BK50" s="123"/>
      <c r="BL50" s="123"/>
      <c r="BM50" s="123"/>
      <c r="BN50" s="123"/>
      <c r="BO50" s="123"/>
      <c r="BP50" s="123"/>
    </row>
    <row r="51" spans="1:68" ht="96.75" customHeight="1">
      <c r="A51" s="727"/>
      <c r="B51" s="630"/>
      <c r="C51" s="630" t="s">
        <v>210</v>
      </c>
      <c r="D51" s="35"/>
      <c r="E51" s="720"/>
      <c r="F51" s="447" t="s">
        <v>260</v>
      </c>
      <c r="G51" s="77" t="s">
        <v>347</v>
      </c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419" t="s">
        <v>53</v>
      </c>
      <c r="U51" s="427" t="s">
        <v>124</v>
      </c>
      <c r="V51" s="428" t="s">
        <v>131</v>
      </c>
      <c r="W51" s="38">
        <v>530217</v>
      </c>
      <c r="X51" s="80" t="s">
        <v>37</v>
      </c>
      <c r="Y51" s="191">
        <v>0</v>
      </c>
      <c r="Z51" s="191"/>
      <c r="AA51" s="256">
        <f t="shared" si="7"/>
        <v>0</v>
      </c>
      <c r="AB51" s="207"/>
      <c r="AC51" s="207"/>
      <c r="AD51" s="207"/>
      <c r="AE51" s="207"/>
      <c r="AF51" s="207"/>
      <c r="AG51" s="207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509"/>
      <c r="BE51" s="526"/>
      <c r="BF51" s="516"/>
      <c r="BG51" s="123"/>
      <c r="BH51" s="287"/>
      <c r="BI51" s="123"/>
      <c r="BJ51" s="123"/>
      <c r="BK51" s="123"/>
      <c r="BL51" s="123"/>
      <c r="BM51" s="123"/>
      <c r="BN51" s="123"/>
      <c r="BO51" s="123"/>
      <c r="BP51" s="123"/>
    </row>
    <row r="52" spans="1:68" ht="96.75" customHeight="1">
      <c r="A52" s="727"/>
      <c r="B52" s="630"/>
      <c r="C52" s="630"/>
      <c r="D52" s="35"/>
      <c r="E52" s="720"/>
      <c r="F52" s="139" t="s">
        <v>320</v>
      </c>
      <c r="G52" s="77" t="s">
        <v>202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419" t="s">
        <v>53</v>
      </c>
      <c r="U52" s="427" t="s">
        <v>125</v>
      </c>
      <c r="V52" s="428" t="s">
        <v>132</v>
      </c>
      <c r="W52" s="38">
        <v>530218</v>
      </c>
      <c r="X52" s="83" t="s">
        <v>38</v>
      </c>
      <c r="Y52" s="191">
        <v>0</v>
      </c>
      <c r="Z52" s="191"/>
      <c r="AA52" s="256">
        <f t="shared" si="7"/>
        <v>0</v>
      </c>
      <c r="AB52" s="207"/>
      <c r="AC52" s="207"/>
      <c r="AD52" s="207"/>
      <c r="AE52" s="207"/>
      <c r="AF52" s="207"/>
      <c r="AG52" s="207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509"/>
      <c r="BE52" s="526"/>
      <c r="BF52" s="516"/>
      <c r="BG52" s="123"/>
      <c r="BH52" s="287"/>
      <c r="BI52" s="123"/>
      <c r="BJ52" s="123"/>
      <c r="BK52" s="123"/>
      <c r="BL52" s="123"/>
      <c r="BM52" s="123"/>
      <c r="BN52" s="123"/>
      <c r="BO52" s="123"/>
      <c r="BP52" s="123"/>
    </row>
    <row r="53" spans="1:68" ht="83.25" customHeight="1">
      <c r="A53" s="727"/>
      <c r="B53" s="630"/>
      <c r="C53" s="630"/>
      <c r="D53" s="35"/>
      <c r="E53" s="720"/>
      <c r="F53" s="437" t="s">
        <v>321</v>
      </c>
      <c r="G53" s="128" t="s">
        <v>137</v>
      </c>
      <c r="H53" s="168">
        <v>1</v>
      </c>
      <c r="I53" s="168">
        <v>1</v>
      </c>
      <c r="J53" s="168">
        <v>1</v>
      </c>
      <c r="K53" s="168">
        <v>1</v>
      </c>
      <c r="L53" s="168">
        <v>1</v>
      </c>
      <c r="M53" s="168">
        <v>1</v>
      </c>
      <c r="N53" s="168">
        <v>1</v>
      </c>
      <c r="O53" s="168">
        <v>1</v>
      </c>
      <c r="P53" s="168">
        <v>1</v>
      </c>
      <c r="Q53" s="168">
        <v>1</v>
      </c>
      <c r="R53" s="168">
        <v>1</v>
      </c>
      <c r="S53" s="168">
        <v>1</v>
      </c>
      <c r="T53" s="133" t="s">
        <v>53</v>
      </c>
      <c r="U53" s="178" t="s">
        <v>126</v>
      </c>
      <c r="V53" s="147" t="s">
        <v>59</v>
      </c>
      <c r="W53" s="432">
        <v>530803</v>
      </c>
      <c r="X53" s="80" t="s">
        <v>192</v>
      </c>
      <c r="Y53" s="207">
        <v>120</v>
      </c>
      <c r="Z53" s="207">
        <f>-120</f>
        <v>-120</v>
      </c>
      <c r="AA53" s="256">
        <f>SUM(Y53+Z53)</f>
        <v>0</v>
      </c>
      <c r="AB53" s="207">
        <f t="shared" si="2"/>
        <v>0</v>
      </c>
      <c r="AC53" s="207">
        <f t="shared" si="3"/>
        <v>0</v>
      </c>
      <c r="AD53" s="207">
        <f t="shared" si="4"/>
        <v>0</v>
      </c>
      <c r="AE53" s="207">
        <f t="shared" si="5"/>
        <v>0</v>
      </c>
      <c r="AF53" s="207">
        <f t="shared" si="6"/>
        <v>0</v>
      </c>
      <c r="AG53" s="207">
        <f t="shared" si="0"/>
        <v>0</v>
      </c>
      <c r="AH53" s="257">
        <v>10</v>
      </c>
      <c r="AI53" s="257"/>
      <c r="AJ53" s="257">
        <v>10</v>
      </c>
      <c r="AK53" s="257"/>
      <c r="AL53" s="257">
        <v>10</v>
      </c>
      <c r="AM53" s="257"/>
      <c r="AN53" s="257">
        <v>10</v>
      </c>
      <c r="AO53" s="257"/>
      <c r="AP53" s="257">
        <v>10</v>
      </c>
      <c r="AQ53" s="257"/>
      <c r="AR53" s="257">
        <v>10</v>
      </c>
      <c r="AS53" s="257"/>
      <c r="AT53" s="257">
        <v>10</v>
      </c>
      <c r="AU53" s="257"/>
      <c r="AV53" s="257">
        <v>10</v>
      </c>
      <c r="AW53" s="257"/>
      <c r="AX53" s="257">
        <v>10</v>
      </c>
      <c r="AY53" s="257"/>
      <c r="AZ53" s="257">
        <v>10</v>
      </c>
      <c r="BA53" s="257"/>
      <c r="BB53" s="257">
        <f>10-120</f>
        <v>-110</v>
      </c>
      <c r="BC53" s="257"/>
      <c r="BD53" s="510">
        <v>10</v>
      </c>
      <c r="BE53" s="527"/>
      <c r="BF53" s="516">
        <f t="shared" si="10"/>
        <v>0</v>
      </c>
      <c r="BG53" s="123"/>
      <c r="BH53" s="287"/>
      <c r="BI53" s="123"/>
      <c r="BJ53" s="123"/>
      <c r="BK53" s="123"/>
      <c r="BL53" s="123"/>
      <c r="BM53" s="123"/>
      <c r="BN53" s="123"/>
      <c r="BO53" s="123"/>
      <c r="BP53" s="123"/>
    </row>
    <row r="54" spans="1:68" ht="54" customHeight="1">
      <c r="A54" s="727"/>
      <c r="B54" s="630"/>
      <c r="C54" s="630" t="s">
        <v>179</v>
      </c>
      <c r="D54" s="630"/>
      <c r="E54" s="720"/>
      <c r="F54" s="694" t="s">
        <v>322</v>
      </c>
      <c r="G54" s="709" t="s">
        <v>39</v>
      </c>
      <c r="H54" s="713">
        <v>1</v>
      </c>
      <c r="I54" s="615">
        <v>1</v>
      </c>
      <c r="J54" s="615">
        <v>1</v>
      </c>
      <c r="K54" s="615">
        <v>1</v>
      </c>
      <c r="L54" s="615">
        <v>1</v>
      </c>
      <c r="M54" s="615">
        <v>1</v>
      </c>
      <c r="N54" s="615">
        <v>1</v>
      </c>
      <c r="O54" s="615">
        <v>1</v>
      </c>
      <c r="P54" s="615">
        <v>1</v>
      </c>
      <c r="Q54" s="615">
        <v>1</v>
      </c>
      <c r="R54" s="615">
        <v>1</v>
      </c>
      <c r="S54" s="615">
        <v>1</v>
      </c>
      <c r="T54" s="612" t="s">
        <v>53</v>
      </c>
      <c r="U54" s="617" t="s">
        <v>40</v>
      </c>
      <c r="V54" s="651" t="s">
        <v>357</v>
      </c>
      <c r="W54" s="50">
        <v>530803</v>
      </c>
      <c r="X54" s="80" t="s">
        <v>29</v>
      </c>
      <c r="Y54" s="207">
        <v>360</v>
      </c>
      <c r="Z54" s="207">
        <f>-50-130</f>
        <v>-180</v>
      </c>
      <c r="AA54" s="256">
        <f>SUM(Y54+Z54)</f>
        <v>180</v>
      </c>
      <c r="AB54" s="207">
        <f t="shared" si="2"/>
        <v>26.25</v>
      </c>
      <c r="AC54" s="207">
        <f t="shared" si="3"/>
        <v>79.78</v>
      </c>
      <c r="AD54" s="207">
        <f t="shared" si="4"/>
        <v>84.21</v>
      </c>
      <c r="AE54" s="207">
        <f t="shared" si="5"/>
        <v>190.24</v>
      </c>
      <c r="AF54" s="207">
        <f t="shared" si="6"/>
        <v>0.52844444444444449</v>
      </c>
      <c r="AG54" s="207">
        <f t="shared" si="0"/>
        <v>-10.240000000000009</v>
      </c>
      <c r="AH54" s="257">
        <v>30</v>
      </c>
      <c r="AI54" s="257"/>
      <c r="AJ54" s="257">
        <v>30</v>
      </c>
      <c r="AK54" s="257"/>
      <c r="AL54" s="257">
        <v>30</v>
      </c>
      <c r="AM54" s="498">
        <v>9.25</v>
      </c>
      <c r="AN54" s="257">
        <v>30</v>
      </c>
      <c r="AO54" s="498">
        <v>17</v>
      </c>
      <c r="AP54" s="257">
        <v>30</v>
      </c>
      <c r="AQ54" s="498">
        <v>37</v>
      </c>
      <c r="AR54" s="257">
        <v>30</v>
      </c>
      <c r="AS54" s="257"/>
      <c r="AT54" s="257">
        <f>30</f>
        <v>30</v>
      </c>
      <c r="AU54" s="263"/>
      <c r="AV54" s="257">
        <f>30-50</f>
        <v>-20</v>
      </c>
      <c r="AW54" s="498">
        <v>42.78</v>
      </c>
      <c r="AX54" s="257">
        <v>30</v>
      </c>
      <c r="AY54" s="263"/>
      <c r="AZ54" s="257">
        <v>30</v>
      </c>
      <c r="BA54" s="263"/>
      <c r="BB54" s="257">
        <f>30-130</f>
        <v>-100</v>
      </c>
      <c r="BC54" s="498">
        <v>84.21</v>
      </c>
      <c r="BD54" s="510">
        <v>30</v>
      </c>
      <c r="BE54" s="528"/>
      <c r="BF54" s="516">
        <f t="shared" si="10"/>
        <v>180</v>
      </c>
      <c r="BG54" s="123"/>
      <c r="BH54" s="287"/>
      <c r="BI54" s="123"/>
      <c r="BJ54" s="123"/>
      <c r="BK54" s="123"/>
      <c r="BL54" s="123"/>
      <c r="BM54" s="123"/>
      <c r="BN54" s="123"/>
      <c r="BO54" s="123"/>
      <c r="BP54" s="123"/>
    </row>
    <row r="55" spans="1:68" ht="54" customHeight="1">
      <c r="A55" s="727"/>
      <c r="B55" s="630"/>
      <c r="C55" s="630"/>
      <c r="D55" s="630"/>
      <c r="E55" s="720"/>
      <c r="F55" s="695"/>
      <c r="G55" s="710"/>
      <c r="H55" s="713"/>
      <c r="I55" s="620"/>
      <c r="J55" s="620"/>
      <c r="K55" s="620"/>
      <c r="L55" s="620"/>
      <c r="M55" s="620"/>
      <c r="N55" s="620"/>
      <c r="O55" s="620"/>
      <c r="P55" s="620"/>
      <c r="Q55" s="620"/>
      <c r="R55" s="620"/>
      <c r="S55" s="620"/>
      <c r="T55" s="628"/>
      <c r="U55" s="617"/>
      <c r="V55" s="651"/>
      <c r="W55" s="32" t="s">
        <v>41</v>
      </c>
      <c r="X55" s="142" t="s">
        <v>42</v>
      </c>
      <c r="Y55" s="191">
        <v>0</v>
      </c>
      <c r="Z55" s="191"/>
      <c r="AA55" s="256">
        <f t="shared" si="7"/>
        <v>0</v>
      </c>
      <c r="AB55" s="207">
        <f t="shared" si="2"/>
        <v>0</v>
      </c>
      <c r="AC55" s="207">
        <f t="shared" si="3"/>
        <v>0</v>
      </c>
      <c r="AD55" s="207">
        <f t="shared" si="4"/>
        <v>0</v>
      </c>
      <c r="AE55" s="207">
        <f t="shared" si="5"/>
        <v>0</v>
      </c>
      <c r="AF55" s="207" t="str">
        <f t="shared" si="6"/>
        <v>Sin recurso</v>
      </c>
      <c r="AG55" s="207">
        <f t="shared" si="0"/>
        <v>0</v>
      </c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509"/>
      <c r="BE55" s="526"/>
      <c r="BF55" s="516">
        <f t="shared" si="10"/>
        <v>0</v>
      </c>
      <c r="BG55" s="123"/>
      <c r="BH55" s="287"/>
      <c r="BI55" s="123"/>
      <c r="BJ55" s="123"/>
      <c r="BK55" s="123"/>
      <c r="BL55" s="123"/>
      <c r="BM55" s="123"/>
      <c r="BN55" s="123"/>
      <c r="BO55" s="123"/>
      <c r="BP55" s="123"/>
    </row>
    <row r="56" spans="1:68" ht="41.25" customHeight="1">
      <c r="A56" s="727"/>
      <c r="B56" s="630"/>
      <c r="C56" s="630"/>
      <c r="D56" s="630"/>
      <c r="E56" s="720"/>
      <c r="F56" s="695"/>
      <c r="G56" s="710"/>
      <c r="H56" s="713"/>
      <c r="I56" s="620"/>
      <c r="J56" s="620"/>
      <c r="K56" s="620"/>
      <c r="L56" s="620"/>
      <c r="M56" s="620"/>
      <c r="N56" s="620"/>
      <c r="O56" s="620"/>
      <c r="P56" s="620"/>
      <c r="Q56" s="620"/>
      <c r="R56" s="620"/>
      <c r="S56" s="620"/>
      <c r="T56" s="628"/>
      <c r="U56" s="617"/>
      <c r="V56" s="651"/>
      <c r="W56" s="140">
        <v>530502</v>
      </c>
      <c r="X56" s="144" t="s">
        <v>43</v>
      </c>
      <c r="Y56" s="191">
        <v>0</v>
      </c>
      <c r="Z56" s="191"/>
      <c r="AA56" s="256">
        <f t="shared" si="7"/>
        <v>0</v>
      </c>
      <c r="AB56" s="207">
        <f t="shared" si="2"/>
        <v>0</v>
      </c>
      <c r="AC56" s="207">
        <f t="shared" si="3"/>
        <v>0</v>
      </c>
      <c r="AD56" s="207">
        <f t="shared" si="4"/>
        <v>0</v>
      </c>
      <c r="AE56" s="207">
        <f t="shared" si="5"/>
        <v>0</v>
      </c>
      <c r="AF56" s="207" t="str">
        <f t="shared" si="6"/>
        <v>Sin recurso</v>
      </c>
      <c r="AG56" s="207">
        <f t="shared" si="0"/>
        <v>0</v>
      </c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509"/>
      <c r="BE56" s="526"/>
      <c r="BF56" s="516">
        <f t="shared" si="10"/>
        <v>0</v>
      </c>
      <c r="BG56" s="123"/>
      <c r="BH56" s="287"/>
      <c r="BI56" s="123"/>
      <c r="BJ56" s="123"/>
      <c r="BK56" s="123"/>
      <c r="BL56" s="123"/>
      <c r="BM56" s="123"/>
      <c r="BN56" s="123"/>
      <c r="BO56" s="123"/>
      <c r="BP56" s="123"/>
    </row>
    <row r="57" spans="1:68" ht="35.25" customHeight="1">
      <c r="A57" s="727"/>
      <c r="B57" s="630"/>
      <c r="C57" s="630"/>
      <c r="D57" s="630"/>
      <c r="E57" s="720"/>
      <c r="F57" s="695"/>
      <c r="G57" s="711"/>
      <c r="H57" s="714"/>
      <c r="I57" s="616"/>
      <c r="J57" s="616"/>
      <c r="K57" s="616"/>
      <c r="L57" s="616"/>
      <c r="M57" s="616"/>
      <c r="N57" s="616"/>
      <c r="O57" s="616"/>
      <c r="P57" s="616"/>
      <c r="Q57" s="616"/>
      <c r="R57" s="616"/>
      <c r="S57" s="616"/>
      <c r="T57" s="613"/>
      <c r="U57" s="617"/>
      <c r="V57" s="651"/>
      <c r="W57" s="32" t="s">
        <v>31</v>
      </c>
      <c r="X57" s="142" t="s">
        <v>44</v>
      </c>
      <c r="Y57" s="191">
        <v>0</v>
      </c>
      <c r="Z57" s="191"/>
      <c r="AA57" s="256">
        <f t="shared" si="7"/>
        <v>0</v>
      </c>
      <c r="AB57" s="207">
        <f t="shared" si="2"/>
        <v>0</v>
      </c>
      <c r="AC57" s="207">
        <f t="shared" si="3"/>
        <v>0</v>
      </c>
      <c r="AD57" s="207">
        <f t="shared" si="4"/>
        <v>0</v>
      </c>
      <c r="AE57" s="207">
        <f t="shared" si="5"/>
        <v>0</v>
      </c>
      <c r="AF57" s="207" t="str">
        <f t="shared" si="6"/>
        <v>Sin recurso</v>
      </c>
      <c r="AG57" s="207">
        <f t="shared" si="0"/>
        <v>0</v>
      </c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509"/>
      <c r="BE57" s="526"/>
      <c r="BF57" s="516">
        <f t="shared" si="10"/>
        <v>0</v>
      </c>
      <c r="BG57" s="123"/>
      <c r="BH57" s="287"/>
      <c r="BI57" s="123"/>
      <c r="BJ57" s="123"/>
      <c r="BK57" s="123"/>
      <c r="BL57" s="123"/>
      <c r="BM57" s="123"/>
      <c r="BN57" s="123"/>
      <c r="BO57" s="123"/>
      <c r="BP57" s="123"/>
    </row>
    <row r="58" spans="1:68" ht="60" customHeight="1">
      <c r="A58" s="727"/>
      <c r="B58" s="630"/>
      <c r="C58" s="35" t="s">
        <v>180</v>
      </c>
      <c r="D58" s="35"/>
      <c r="E58" s="720"/>
      <c r="F58" s="420" t="s">
        <v>323</v>
      </c>
      <c r="G58" s="446" t="s">
        <v>45</v>
      </c>
      <c r="H58" s="168"/>
      <c r="I58" s="168"/>
      <c r="J58" s="168"/>
      <c r="K58" s="168">
        <v>1</v>
      </c>
      <c r="L58" s="168"/>
      <c r="M58" s="168"/>
      <c r="N58" s="168"/>
      <c r="O58" s="168"/>
      <c r="P58" s="168"/>
      <c r="Q58" s="168"/>
      <c r="R58" s="168"/>
      <c r="S58" s="168"/>
      <c r="T58" s="81" t="s">
        <v>53</v>
      </c>
      <c r="U58" s="429" t="s">
        <v>46</v>
      </c>
      <c r="V58" s="430" t="s">
        <v>47</v>
      </c>
      <c r="W58" s="143" t="s">
        <v>194</v>
      </c>
      <c r="X58" s="144" t="s">
        <v>358</v>
      </c>
      <c r="Y58" s="207">
        <v>696</v>
      </c>
      <c r="Z58" s="191">
        <f>(-696)+561.41</f>
        <v>-134.59000000000003</v>
      </c>
      <c r="AA58" s="256">
        <f t="shared" ref="AA58:AA64" si="11">SUM(Y58+Z58)</f>
        <v>561.41</v>
      </c>
      <c r="AB58" s="207">
        <f t="shared" si="2"/>
        <v>0</v>
      </c>
      <c r="AC58" s="207">
        <f t="shared" si="3"/>
        <v>0</v>
      </c>
      <c r="AD58" s="207">
        <f t="shared" si="4"/>
        <v>561.41</v>
      </c>
      <c r="AE58" s="207">
        <f t="shared" si="5"/>
        <v>561.41</v>
      </c>
      <c r="AF58" s="207">
        <f t="shared" si="6"/>
        <v>0.80662356321839079</v>
      </c>
      <c r="AG58" s="207">
        <f t="shared" si="0"/>
        <v>0</v>
      </c>
      <c r="AH58" s="192"/>
      <c r="AI58" s="192"/>
      <c r="AJ58" s="192"/>
      <c r="AK58" s="192"/>
      <c r="AL58" s="192"/>
      <c r="AM58" s="192"/>
      <c r="AN58" s="469">
        <v>696</v>
      </c>
      <c r="AO58" s="192"/>
      <c r="AP58" s="192">
        <f>(-696)</f>
        <v>-696</v>
      </c>
      <c r="AQ58" s="192"/>
      <c r="AR58" s="192"/>
      <c r="AS58" s="192"/>
      <c r="AT58" s="192"/>
      <c r="AU58" s="192"/>
      <c r="AV58" s="192"/>
      <c r="AW58" s="192"/>
      <c r="AX58" s="192"/>
      <c r="AY58" s="192"/>
      <c r="AZ58" s="333"/>
      <c r="BA58" s="333"/>
      <c r="BB58" s="192"/>
      <c r="BC58" s="192"/>
      <c r="BD58" s="509">
        <v>561.41</v>
      </c>
      <c r="BE58" s="526">
        <v>561.41</v>
      </c>
      <c r="BF58" s="518">
        <f t="shared" si="10"/>
        <v>561.41</v>
      </c>
      <c r="BG58" s="123"/>
      <c r="BH58" s="287"/>
      <c r="BI58" s="123"/>
      <c r="BJ58" s="123"/>
      <c r="BK58" s="123"/>
      <c r="BL58" s="123"/>
      <c r="BM58" s="123"/>
      <c r="BN58" s="123"/>
      <c r="BO58" s="123"/>
      <c r="BP58" s="123"/>
    </row>
    <row r="59" spans="1:68" s="98" customFormat="1" ht="77.25" customHeight="1">
      <c r="A59" s="727"/>
      <c r="B59" s="630"/>
      <c r="C59" s="35" t="s">
        <v>181</v>
      </c>
      <c r="D59" s="35"/>
      <c r="E59" s="720"/>
      <c r="F59" s="145" t="s">
        <v>377</v>
      </c>
      <c r="G59" s="449" t="s">
        <v>213</v>
      </c>
      <c r="H59" s="169">
        <v>1</v>
      </c>
      <c r="I59" s="169">
        <v>1</v>
      </c>
      <c r="J59" s="169">
        <v>1</v>
      </c>
      <c r="K59" s="169">
        <v>1</v>
      </c>
      <c r="L59" s="169">
        <v>1</v>
      </c>
      <c r="M59" s="169">
        <v>1</v>
      </c>
      <c r="N59" s="169">
        <v>1</v>
      </c>
      <c r="O59" s="169">
        <v>1</v>
      </c>
      <c r="P59" s="169">
        <v>1</v>
      </c>
      <c r="Q59" s="169">
        <v>1</v>
      </c>
      <c r="R59" s="169">
        <v>1</v>
      </c>
      <c r="S59" s="169">
        <v>1</v>
      </c>
      <c r="T59" s="81" t="s">
        <v>53</v>
      </c>
      <c r="U59" s="178" t="s">
        <v>58</v>
      </c>
      <c r="V59" s="147" t="s">
        <v>59</v>
      </c>
      <c r="W59" s="179">
        <v>530813</v>
      </c>
      <c r="X59" s="144" t="s">
        <v>62</v>
      </c>
      <c r="Y59" s="207">
        <v>7081</v>
      </c>
      <c r="Z59" s="332">
        <f>-54.88-2000-343+1979.7</f>
        <v>-418.18000000000006</v>
      </c>
      <c r="AA59" s="256">
        <f t="shared" si="11"/>
        <v>6662.82</v>
      </c>
      <c r="AB59" s="207">
        <f t="shared" si="2"/>
        <v>1110.1400000000001</v>
      </c>
      <c r="AC59" s="207">
        <f t="shared" si="3"/>
        <v>412.42</v>
      </c>
      <c r="AD59" s="207">
        <f t="shared" si="4"/>
        <v>5140.24</v>
      </c>
      <c r="AE59" s="207">
        <f t="shared" si="5"/>
        <v>6662.8</v>
      </c>
      <c r="AF59" s="207">
        <f t="shared" si="6"/>
        <v>0.94094054512074565</v>
      </c>
      <c r="AG59" s="207">
        <f t="shared" si="0"/>
        <v>1.9999999999527063E-2</v>
      </c>
      <c r="AH59" s="468">
        <f>590.083333333333-54.88</f>
        <v>535.20333333333303</v>
      </c>
      <c r="AI59" s="257"/>
      <c r="AJ59" s="257">
        <v>590.08333333333303</v>
      </c>
      <c r="AK59" s="257"/>
      <c r="AL59" s="257">
        <v>590.08333333333303</v>
      </c>
      <c r="AM59" s="257">
        <v>1110.1400000000001</v>
      </c>
      <c r="AN59" s="257">
        <v>590.08333333333303</v>
      </c>
      <c r="AO59" s="257"/>
      <c r="AP59" s="257">
        <f>(590.083333333333-250)</f>
        <v>340.08333333333303</v>
      </c>
      <c r="AQ59" s="257"/>
      <c r="AR59" s="257">
        <f>(590.083333333333-250)</f>
        <v>340.08333333333303</v>
      </c>
      <c r="AS59" s="257">
        <v>130</v>
      </c>
      <c r="AT59" s="257">
        <f>(590.083333333333-250)</f>
        <v>340.08333333333303</v>
      </c>
      <c r="AU59" s="257">
        <v>264.5</v>
      </c>
      <c r="AV59" s="257">
        <f>(590.083333333333-250-68.6)</f>
        <v>271.48333333333301</v>
      </c>
      <c r="AW59" s="257">
        <v>17.920000000000002</v>
      </c>
      <c r="AX59" s="257">
        <f>(590.083333333333-250-68.6)</f>
        <v>271.48333333333301</v>
      </c>
      <c r="AY59" s="257">
        <v>144.47999999999999</v>
      </c>
      <c r="AZ59" s="257">
        <f>(590.083333333333-250-68.6)</f>
        <v>271.48333333333301</v>
      </c>
      <c r="BA59" s="257">
        <v>1033.67</v>
      </c>
      <c r="BB59" s="257">
        <f>(590.083333333333-250-68.6)</f>
        <v>271.48333333333301</v>
      </c>
      <c r="BC59" s="257">
        <v>140</v>
      </c>
      <c r="BD59" s="257">
        <f>(590.083333333333-250-68.6)+1979.7</f>
        <v>2251.1833333333329</v>
      </c>
      <c r="BE59" s="527">
        <v>3822.09</v>
      </c>
      <c r="BF59" s="518">
        <f t="shared" si="10"/>
        <v>6662.8199999999961</v>
      </c>
      <c r="BG59" s="123"/>
      <c r="BH59" s="287"/>
      <c r="BI59" s="123"/>
      <c r="BJ59" s="123"/>
      <c r="BK59" s="123"/>
      <c r="BL59" s="123"/>
      <c r="BM59" s="123"/>
      <c r="BN59" s="123"/>
      <c r="BO59" s="123"/>
      <c r="BP59" s="123"/>
    </row>
    <row r="60" spans="1:68" s="98" customFormat="1" ht="63.75" customHeight="1">
      <c r="A60" s="727"/>
      <c r="B60" s="630"/>
      <c r="C60" s="35" t="s">
        <v>179</v>
      </c>
      <c r="D60" s="35"/>
      <c r="E60" s="720"/>
      <c r="F60" s="139" t="s">
        <v>324</v>
      </c>
      <c r="G60" s="446" t="s">
        <v>39</v>
      </c>
      <c r="H60" s="168">
        <v>1</v>
      </c>
      <c r="I60" s="168">
        <v>1</v>
      </c>
      <c r="J60" s="168">
        <v>1</v>
      </c>
      <c r="K60" s="168">
        <v>1</v>
      </c>
      <c r="L60" s="168">
        <v>1</v>
      </c>
      <c r="M60" s="168">
        <v>1</v>
      </c>
      <c r="N60" s="168">
        <v>1</v>
      </c>
      <c r="O60" s="168">
        <v>1</v>
      </c>
      <c r="P60" s="168">
        <v>1</v>
      </c>
      <c r="Q60" s="168">
        <v>1</v>
      </c>
      <c r="R60" s="168">
        <v>1</v>
      </c>
      <c r="S60" s="168">
        <v>1</v>
      </c>
      <c r="T60" s="146" t="s">
        <v>53</v>
      </c>
      <c r="U60" s="429" t="s">
        <v>67</v>
      </c>
      <c r="V60" s="430" t="s">
        <v>68</v>
      </c>
      <c r="W60" s="180">
        <v>530502</v>
      </c>
      <c r="X60" s="144" t="s">
        <v>43</v>
      </c>
      <c r="Y60" s="207">
        <v>3963</v>
      </c>
      <c r="Z60" s="191">
        <f>(-2000- 563)</f>
        <v>-2563</v>
      </c>
      <c r="AA60" s="256">
        <f t="shared" si="11"/>
        <v>1400</v>
      </c>
      <c r="AB60" s="207">
        <f t="shared" si="2"/>
        <v>450</v>
      </c>
      <c r="AC60" s="207">
        <f t="shared" si="3"/>
        <v>450</v>
      </c>
      <c r="AD60" s="207">
        <f t="shared" si="4"/>
        <v>500</v>
      </c>
      <c r="AE60" s="207">
        <f t="shared" si="5"/>
        <v>1400</v>
      </c>
      <c r="AF60" s="207">
        <f t="shared" si="6"/>
        <v>0.35326772646984606</v>
      </c>
      <c r="AG60" s="207">
        <f t="shared" si="0"/>
        <v>0</v>
      </c>
      <c r="AH60" s="257">
        <v>330.25</v>
      </c>
      <c r="AI60" s="257"/>
      <c r="AJ60" s="257">
        <v>330.25</v>
      </c>
      <c r="AK60" s="257"/>
      <c r="AL60" s="257">
        <v>330.25</v>
      </c>
      <c r="AM60" s="257">
        <v>300</v>
      </c>
      <c r="AN60" s="257">
        <v>330.25</v>
      </c>
      <c r="AO60" s="257">
        <v>150</v>
      </c>
      <c r="AP60" s="257">
        <f>(330.25-250)</f>
        <v>80.25</v>
      </c>
      <c r="AQ60" s="257">
        <v>150</v>
      </c>
      <c r="AR60" s="257">
        <f>(330.25-250)</f>
        <v>80.25</v>
      </c>
      <c r="AS60" s="257">
        <v>100</v>
      </c>
      <c r="AT60" s="257">
        <f>(330.25-250)</f>
        <v>80.25</v>
      </c>
      <c r="AU60" s="257">
        <v>100</v>
      </c>
      <c r="AV60" s="257">
        <f>(330.25-250-112.6)</f>
        <v>-32.349999999999994</v>
      </c>
      <c r="AW60" s="257">
        <v>100</v>
      </c>
      <c r="AX60" s="257">
        <f>(330.25-250-112.6)</f>
        <v>-32.349999999999994</v>
      </c>
      <c r="AY60" s="257">
        <v>100</v>
      </c>
      <c r="AZ60" s="257">
        <f>(330.25-250-112.6)</f>
        <v>-32.349999999999994</v>
      </c>
      <c r="BA60" s="257">
        <v>100</v>
      </c>
      <c r="BB60" s="257">
        <f>(330.25-250-112.6)</f>
        <v>-32.349999999999994</v>
      </c>
      <c r="BC60" s="257">
        <v>100</v>
      </c>
      <c r="BD60" s="257">
        <f>(330.25-250-112.6)</f>
        <v>-32.349999999999994</v>
      </c>
      <c r="BE60" s="527">
        <v>200</v>
      </c>
      <c r="BF60" s="518">
        <f t="shared" si="10"/>
        <v>1400.0000000000005</v>
      </c>
      <c r="BG60" s="123"/>
      <c r="BH60" s="287"/>
      <c r="BI60" s="123"/>
      <c r="BJ60" s="123"/>
      <c r="BK60" s="123"/>
      <c r="BL60" s="123"/>
      <c r="BM60" s="123"/>
      <c r="BN60" s="123"/>
      <c r="BO60" s="123"/>
      <c r="BP60" s="123"/>
    </row>
    <row r="61" spans="1:68" ht="56.25" customHeight="1">
      <c r="A61" s="727"/>
      <c r="B61" s="630"/>
      <c r="C61" s="35" t="s">
        <v>178</v>
      </c>
      <c r="D61" s="35"/>
      <c r="E61" s="720"/>
      <c r="F61" s="213" t="s">
        <v>325</v>
      </c>
      <c r="G61" s="77" t="s">
        <v>69</v>
      </c>
      <c r="H61" s="168"/>
      <c r="I61" s="168"/>
      <c r="J61" s="168"/>
      <c r="K61" s="168"/>
      <c r="L61" s="168"/>
      <c r="M61" s="168">
        <v>1</v>
      </c>
      <c r="N61" s="168"/>
      <c r="O61" s="168"/>
      <c r="P61" s="168"/>
      <c r="Q61" s="168"/>
      <c r="R61" s="168"/>
      <c r="S61" s="168"/>
      <c r="T61" s="81" t="s">
        <v>53</v>
      </c>
      <c r="U61" s="178" t="s">
        <v>61</v>
      </c>
      <c r="V61" s="147" t="s">
        <v>59</v>
      </c>
      <c r="W61" s="179">
        <v>570201</v>
      </c>
      <c r="X61" s="144" t="s">
        <v>70</v>
      </c>
      <c r="Y61" s="212">
        <v>2304.2199999999998</v>
      </c>
      <c r="Z61" s="212">
        <f>-39.47</f>
        <v>-39.47</v>
      </c>
      <c r="AA61" s="256">
        <f t="shared" si="11"/>
        <v>2264.75</v>
      </c>
      <c r="AB61" s="207">
        <f t="shared" si="2"/>
        <v>0</v>
      </c>
      <c r="AC61" s="207">
        <f t="shared" si="3"/>
        <v>1645.58</v>
      </c>
      <c r="AD61" s="207">
        <f t="shared" si="4"/>
        <v>619.16999999999996</v>
      </c>
      <c r="AE61" s="207">
        <f t="shared" si="5"/>
        <v>2264.75</v>
      </c>
      <c r="AF61" s="207">
        <f t="shared" si="6"/>
        <v>0.98287055923479538</v>
      </c>
      <c r="AG61" s="207">
        <f t="shared" si="0"/>
        <v>0</v>
      </c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>
        <v>2304.2199999999998</v>
      </c>
      <c r="AS61" s="192">
        <v>1645.58</v>
      </c>
      <c r="AT61" s="192"/>
      <c r="AU61" s="192"/>
      <c r="AV61" s="192"/>
      <c r="AW61" s="192"/>
      <c r="AX61" s="192"/>
      <c r="AY61" s="192"/>
      <c r="AZ61" s="192"/>
      <c r="BA61" s="192"/>
      <c r="BB61" s="192">
        <f>-39.47</f>
        <v>-39.47</v>
      </c>
      <c r="BC61" s="192"/>
      <c r="BD61" s="509"/>
      <c r="BE61" s="526">
        <v>619.16999999999996</v>
      </c>
      <c r="BF61" s="518">
        <f t="shared" si="10"/>
        <v>2264.75</v>
      </c>
      <c r="BG61" s="341">
        <f>+BF61-AA61</f>
        <v>0</v>
      </c>
      <c r="BH61" s="287"/>
      <c r="BI61" s="123"/>
      <c r="BJ61" s="123"/>
      <c r="BK61" s="123"/>
      <c r="BL61" s="123"/>
      <c r="BM61" s="123"/>
      <c r="BN61" s="123"/>
      <c r="BO61" s="123"/>
      <c r="BP61" s="123"/>
    </row>
    <row r="62" spans="1:68" ht="93" customHeight="1">
      <c r="A62" s="727"/>
      <c r="B62" s="630"/>
      <c r="C62" s="35" t="s">
        <v>178</v>
      </c>
      <c r="D62" s="35"/>
      <c r="E62" s="720"/>
      <c r="F62" s="148" t="s">
        <v>326</v>
      </c>
      <c r="G62" s="97" t="s">
        <v>110</v>
      </c>
      <c r="H62" s="169"/>
      <c r="I62" s="169">
        <v>1</v>
      </c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82" t="s">
        <v>53</v>
      </c>
      <c r="U62" s="425" t="s">
        <v>109</v>
      </c>
      <c r="V62" s="424" t="s">
        <v>111</v>
      </c>
      <c r="W62" s="143" t="s">
        <v>112</v>
      </c>
      <c r="X62" s="463" t="s">
        <v>113</v>
      </c>
      <c r="Y62" s="207">
        <v>230</v>
      </c>
      <c r="Z62" s="212">
        <f>-191.54</f>
        <v>-191.54</v>
      </c>
      <c r="AA62" s="256">
        <f t="shared" si="11"/>
        <v>38.460000000000008</v>
      </c>
      <c r="AB62" s="207">
        <f t="shared" si="2"/>
        <v>38.46</v>
      </c>
      <c r="AC62" s="207">
        <f t="shared" si="3"/>
        <v>0</v>
      </c>
      <c r="AD62" s="207">
        <f t="shared" si="4"/>
        <v>0</v>
      </c>
      <c r="AE62" s="207">
        <f t="shared" si="5"/>
        <v>38.46</v>
      </c>
      <c r="AF62" s="207">
        <f t="shared" si="6"/>
        <v>0.16721739130434782</v>
      </c>
      <c r="AG62" s="207">
        <f t="shared" si="0"/>
        <v>7.1054273576010019E-15</v>
      </c>
      <c r="AH62" s="192"/>
      <c r="AI62" s="192"/>
      <c r="AJ62" s="192">
        <v>230</v>
      </c>
      <c r="AK62" s="192">
        <v>38.46</v>
      </c>
      <c r="AL62" s="192"/>
      <c r="AM62" s="192"/>
      <c r="AN62" s="192"/>
      <c r="AO62" s="192"/>
      <c r="AP62" s="192">
        <f>(-191.54)</f>
        <v>-191.54</v>
      </c>
      <c r="AQ62" s="192"/>
      <c r="AR62" s="192"/>
      <c r="AS62" s="192"/>
      <c r="AT62" s="192"/>
      <c r="AU62" s="192"/>
      <c r="AV62" s="192"/>
      <c r="AW62" s="192"/>
      <c r="AX62" s="192"/>
      <c r="AY62" s="192"/>
      <c r="AZ62" s="333"/>
      <c r="BA62" s="333"/>
      <c r="BB62" s="333"/>
      <c r="BC62" s="192"/>
      <c r="BD62" s="509"/>
      <c r="BE62" s="526"/>
      <c r="BF62" s="516">
        <f>SUM(AH62,AJ62,AL62,AN62,AP62,AR62,AT62,AV62,AX62,AZ62,BB62,BD62)</f>
        <v>38.460000000000008</v>
      </c>
      <c r="BG62" s="342">
        <f>+BF62-AA62</f>
        <v>0</v>
      </c>
      <c r="BH62" s="287"/>
      <c r="BI62" s="123"/>
      <c r="BJ62" s="123"/>
      <c r="BK62" s="123"/>
      <c r="BL62" s="123"/>
      <c r="BM62" s="123"/>
      <c r="BN62" s="123"/>
      <c r="BO62" s="123"/>
      <c r="BP62" s="123"/>
    </row>
    <row r="63" spans="1:68" ht="72.75" customHeight="1">
      <c r="A63" s="727"/>
      <c r="B63" s="630"/>
      <c r="C63" s="35" t="s">
        <v>178</v>
      </c>
      <c r="D63" s="35"/>
      <c r="E63" s="720"/>
      <c r="F63" s="148" t="s">
        <v>327</v>
      </c>
      <c r="G63" s="97" t="s">
        <v>204</v>
      </c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82" t="s">
        <v>53</v>
      </c>
      <c r="U63" s="425" t="s">
        <v>149</v>
      </c>
      <c r="V63" s="424" t="s">
        <v>59</v>
      </c>
      <c r="W63" s="143" t="s">
        <v>150</v>
      </c>
      <c r="X63" s="463" t="s">
        <v>151</v>
      </c>
      <c r="Y63" s="191">
        <v>0</v>
      </c>
      <c r="Z63" s="191">
        <v>54.88</v>
      </c>
      <c r="AA63" s="256">
        <f t="shared" si="11"/>
        <v>54.88</v>
      </c>
      <c r="AB63" s="207">
        <f t="shared" si="2"/>
        <v>54.88</v>
      </c>
      <c r="AC63" s="207">
        <f t="shared" si="3"/>
        <v>0</v>
      </c>
      <c r="AD63" s="207">
        <f t="shared" si="4"/>
        <v>0</v>
      </c>
      <c r="AE63" s="207">
        <f t="shared" si="5"/>
        <v>54.88</v>
      </c>
      <c r="AF63" s="207" t="str">
        <f t="shared" si="6"/>
        <v>Sin recurso</v>
      </c>
      <c r="AG63" s="207">
        <f t="shared" si="0"/>
        <v>0</v>
      </c>
      <c r="AH63" s="192">
        <v>54.88</v>
      </c>
      <c r="AI63" s="192"/>
      <c r="AJ63" s="192"/>
      <c r="AK63" s="192">
        <v>54.88</v>
      </c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509"/>
      <c r="BE63" s="526"/>
      <c r="BF63" s="516">
        <f t="shared" si="10"/>
        <v>54.88</v>
      </c>
      <c r="BG63" s="123"/>
      <c r="BH63" s="287"/>
      <c r="BI63" s="123"/>
      <c r="BJ63" s="123"/>
      <c r="BK63" s="123"/>
      <c r="BL63" s="123"/>
      <c r="BM63" s="123"/>
      <c r="BN63" s="123"/>
      <c r="BO63" s="123"/>
      <c r="BP63" s="123"/>
    </row>
    <row r="64" spans="1:68" ht="41.25" customHeight="1">
      <c r="A64" s="727"/>
      <c r="B64" s="630"/>
      <c r="C64" s="35" t="s">
        <v>182</v>
      </c>
      <c r="D64" s="35"/>
      <c r="E64" s="720"/>
      <c r="F64" s="215" t="s">
        <v>328</v>
      </c>
      <c r="G64" s="448" t="s">
        <v>48</v>
      </c>
      <c r="H64" s="168">
        <v>1</v>
      </c>
      <c r="I64" s="168">
        <v>1</v>
      </c>
      <c r="J64" s="168">
        <v>1</v>
      </c>
      <c r="K64" s="168">
        <v>1</v>
      </c>
      <c r="L64" s="168">
        <v>1</v>
      </c>
      <c r="M64" s="168">
        <v>1</v>
      </c>
      <c r="N64" s="168">
        <v>1</v>
      </c>
      <c r="O64" s="168">
        <v>1</v>
      </c>
      <c r="P64" s="168">
        <v>1</v>
      </c>
      <c r="Q64" s="168">
        <v>1</v>
      </c>
      <c r="R64" s="168">
        <v>1</v>
      </c>
      <c r="S64" s="168">
        <v>1</v>
      </c>
      <c r="T64" s="81" t="s">
        <v>55</v>
      </c>
      <c r="U64" s="464" t="s">
        <v>46</v>
      </c>
      <c r="V64" s="181" t="s">
        <v>49</v>
      </c>
      <c r="W64" s="180">
        <v>530405</v>
      </c>
      <c r="X64" s="144" t="s">
        <v>195</v>
      </c>
      <c r="Y64" s="212">
        <v>3409</v>
      </c>
      <c r="Z64" s="212">
        <f>-343+642.64</f>
        <v>299.64</v>
      </c>
      <c r="AA64" s="256">
        <f t="shared" si="11"/>
        <v>3708.64</v>
      </c>
      <c r="AB64" s="207">
        <f t="shared" si="2"/>
        <v>287</v>
      </c>
      <c r="AC64" s="207">
        <f t="shared" si="3"/>
        <v>203</v>
      </c>
      <c r="AD64" s="207">
        <f t="shared" si="4"/>
        <v>3218.64</v>
      </c>
      <c r="AE64" s="207">
        <f>SUM(AI64,AK64,AM64,AO64,AQ64,AS64,AU64,AW64,AY64,BA64,BC64,BE64)</f>
        <v>3708.6400000000003</v>
      </c>
      <c r="AF64" s="207">
        <f t="shared" si="6"/>
        <v>1.087896743913171</v>
      </c>
      <c r="AG64" s="207">
        <f t="shared" si="0"/>
        <v>-4.5474735088646412E-13</v>
      </c>
      <c r="AH64" s="469">
        <v>284.08333333333297</v>
      </c>
      <c r="AI64" s="257"/>
      <c r="AJ64" s="257">
        <v>284.08333333333297</v>
      </c>
      <c r="AK64" s="257"/>
      <c r="AL64" s="257">
        <v>284.08333333333297</v>
      </c>
      <c r="AM64" s="257">
        <v>287</v>
      </c>
      <c r="AN64" s="257">
        <v>284.08333333333297</v>
      </c>
      <c r="AO64" s="257"/>
      <c r="AP64" s="257">
        <v>284.08333333333297</v>
      </c>
      <c r="AQ64" s="257"/>
      <c r="AR64" s="257">
        <v>284.08333333333297</v>
      </c>
      <c r="AS64" s="257"/>
      <c r="AT64" s="257">
        <f>284.083333333333</f>
        <v>284.08333333333297</v>
      </c>
      <c r="AU64" s="257">
        <v>203</v>
      </c>
      <c r="AV64" s="257">
        <f>284.083333333333-68.6</f>
        <v>215.48333333333298</v>
      </c>
      <c r="AW64" s="257"/>
      <c r="AX64" s="257">
        <f>284.083333333333-68.6</f>
        <v>215.48333333333298</v>
      </c>
      <c r="AY64" s="257">
        <v>16.8</v>
      </c>
      <c r="AZ64" s="257">
        <f>284.083333333333-68.6</f>
        <v>215.48333333333298</v>
      </c>
      <c r="BA64" s="257">
        <v>372.4</v>
      </c>
      <c r="BB64" s="257">
        <f>284.083333333333-68.6</f>
        <v>215.48333333333298</v>
      </c>
      <c r="BC64" s="257"/>
      <c r="BD64" s="257">
        <f>284.083333333333-68.6+642.64</f>
        <v>858.12333333333299</v>
      </c>
      <c r="BE64" s="527">
        <v>2829.44</v>
      </c>
      <c r="BF64" s="518">
        <f t="shared" si="10"/>
        <v>3708.6399999999962</v>
      </c>
      <c r="BG64" s="123"/>
      <c r="BH64" s="287"/>
      <c r="BI64" s="123"/>
      <c r="BJ64" s="123"/>
      <c r="BK64" s="123"/>
      <c r="BL64" s="123"/>
      <c r="BM64" s="123"/>
      <c r="BN64" s="123"/>
      <c r="BO64" s="123"/>
      <c r="BP64" s="123"/>
    </row>
    <row r="65" spans="1:68" ht="41.25" customHeight="1">
      <c r="A65" s="727"/>
      <c r="B65" s="630"/>
      <c r="C65" s="35" t="s">
        <v>182</v>
      </c>
      <c r="D65" s="35"/>
      <c r="E65" s="720"/>
      <c r="F65" s="55" t="s">
        <v>329</v>
      </c>
      <c r="G65" s="448" t="s">
        <v>205</v>
      </c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81" t="s">
        <v>55</v>
      </c>
      <c r="U65" s="178" t="s">
        <v>58</v>
      </c>
      <c r="V65" s="147" t="s">
        <v>59</v>
      </c>
      <c r="W65" s="179">
        <v>530841</v>
      </c>
      <c r="X65" s="144" t="s">
        <v>143</v>
      </c>
      <c r="Y65" s="191">
        <v>0</v>
      </c>
      <c r="Z65" s="191"/>
      <c r="AA65" s="256">
        <f t="shared" si="7"/>
        <v>0</v>
      </c>
      <c r="AB65" s="207">
        <f t="shared" si="2"/>
        <v>0</v>
      </c>
      <c r="AC65" s="207">
        <f t="shared" si="3"/>
        <v>0</v>
      </c>
      <c r="AD65" s="207">
        <f t="shared" si="4"/>
        <v>0</v>
      </c>
      <c r="AE65" s="207">
        <f t="shared" si="5"/>
        <v>0</v>
      </c>
      <c r="AF65" s="207" t="str">
        <f t="shared" si="6"/>
        <v>Sin recurso</v>
      </c>
      <c r="AG65" s="207">
        <f t="shared" si="0"/>
        <v>0</v>
      </c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467"/>
      <c r="AW65" s="192"/>
      <c r="AX65" s="192"/>
      <c r="AY65" s="192"/>
      <c r="AZ65" s="192"/>
      <c r="BA65" s="192"/>
      <c r="BB65" s="192"/>
      <c r="BC65" s="192"/>
      <c r="BD65" s="509"/>
      <c r="BE65" s="526"/>
      <c r="BF65" s="516">
        <f t="shared" si="10"/>
        <v>0</v>
      </c>
      <c r="BG65" s="123"/>
      <c r="BH65" s="287"/>
      <c r="BI65" s="123"/>
      <c r="BJ65" s="123"/>
      <c r="BK65" s="123"/>
      <c r="BL65" s="123"/>
      <c r="BM65" s="123"/>
      <c r="BN65" s="123"/>
      <c r="BO65" s="123"/>
      <c r="BP65" s="123"/>
    </row>
    <row r="66" spans="1:68" ht="38.25" customHeight="1">
      <c r="A66" s="727"/>
      <c r="B66" s="630"/>
      <c r="C66" s="35" t="s">
        <v>183</v>
      </c>
      <c r="D66" s="35"/>
      <c r="E66" s="720"/>
      <c r="F66" s="145" t="s">
        <v>330</v>
      </c>
      <c r="G66" s="448" t="s">
        <v>216</v>
      </c>
      <c r="H66" s="168"/>
      <c r="I66" s="168">
        <v>1</v>
      </c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81" t="s">
        <v>55</v>
      </c>
      <c r="U66" s="464" t="s">
        <v>50</v>
      </c>
      <c r="V66" s="181" t="s">
        <v>51</v>
      </c>
      <c r="W66" s="180">
        <v>530804</v>
      </c>
      <c r="X66" s="144" t="s">
        <v>52</v>
      </c>
      <c r="Y66" s="207">
        <v>2418</v>
      </c>
      <c r="Z66" s="212">
        <f>-150-608.42-515.65</f>
        <v>-1274.07</v>
      </c>
      <c r="AA66" s="256">
        <f>SUM(Y66+Z66)</f>
        <v>1143.93</v>
      </c>
      <c r="AB66" s="207">
        <f t="shared" si="2"/>
        <v>1143.93</v>
      </c>
      <c r="AC66" s="207">
        <f t="shared" si="3"/>
        <v>0</v>
      </c>
      <c r="AD66" s="207">
        <f t="shared" si="4"/>
        <v>0</v>
      </c>
      <c r="AE66" s="207">
        <f t="shared" si="5"/>
        <v>1143.93</v>
      </c>
      <c r="AF66" s="207">
        <f t="shared" si="6"/>
        <v>0.4730893300248139</v>
      </c>
      <c r="AG66" s="207">
        <f t="shared" si="0"/>
        <v>0</v>
      </c>
      <c r="AH66" s="192"/>
      <c r="AI66" s="192"/>
      <c r="AJ66" s="470">
        <v>2418</v>
      </c>
      <c r="AK66" s="192">
        <v>1116.96</v>
      </c>
      <c r="AL66" s="192">
        <f>(-150)</f>
        <v>-150</v>
      </c>
      <c r="AM66" s="192">
        <v>26.97</v>
      </c>
      <c r="AN66" s="192"/>
      <c r="AO66" s="192"/>
      <c r="AP66" s="192">
        <f>(-608.42)</f>
        <v>-608.41999999999996</v>
      </c>
      <c r="AQ66" s="192"/>
      <c r="AR66" s="192"/>
      <c r="AS66" s="192"/>
      <c r="AT66" s="192"/>
      <c r="AU66" s="192"/>
      <c r="AV66" s="471">
        <f>-515.65</f>
        <v>-515.65</v>
      </c>
      <c r="AW66" s="193"/>
      <c r="AX66" s="193"/>
      <c r="AY66" s="193"/>
      <c r="AZ66" s="334"/>
      <c r="BA66" s="334"/>
      <c r="BB66" s="193"/>
      <c r="BC66" s="193"/>
      <c r="BD66" s="513"/>
      <c r="BE66" s="529"/>
      <c r="BF66" s="516">
        <f t="shared" si="10"/>
        <v>1143.9299999999998</v>
      </c>
      <c r="BG66" s="123"/>
      <c r="BH66" s="287"/>
      <c r="BI66" s="123"/>
      <c r="BJ66" s="123"/>
      <c r="BK66" s="123"/>
      <c r="BL66" s="123"/>
      <c r="BM66" s="123"/>
      <c r="BN66" s="123"/>
      <c r="BO66" s="123"/>
      <c r="BP66" s="123"/>
    </row>
    <row r="67" spans="1:68" s="98" customFormat="1" ht="38.25" customHeight="1">
      <c r="A67" s="727"/>
      <c r="B67" s="630"/>
      <c r="C67" s="35" t="s">
        <v>183</v>
      </c>
      <c r="D67" s="35"/>
      <c r="E67" s="720"/>
      <c r="F67" s="55" t="s">
        <v>331</v>
      </c>
      <c r="G67" s="179" t="s">
        <v>215</v>
      </c>
      <c r="H67" s="168"/>
      <c r="I67" s="168">
        <v>1</v>
      </c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81" t="s">
        <v>55</v>
      </c>
      <c r="U67" s="178" t="s">
        <v>66</v>
      </c>
      <c r="V67" s="147" t="s">
        <v>59</v>
      </c>
      <c r="W67" s="179">
        <v>530805</v>
      </c>
      <c r="X67" s="144" t="s">
        <v>60</v>
      </c>
      <c r="Y67" s="212">
        <v>837</v>
      </c>
      <c r="Z67" s="212">
        <f>-202.72</f>
        <v>-202.72</v>
      </c>
      <c r="AA67" s="289">
        <f>SUM(Y67+Z67)</f>
        <v>634.28</v>
      </c>
      <c r="AB67" s="212">
        <f t="shared" si="2"/>
        <v>343.24</v>
      </c>
      <c r="AC67" s="212">
        <f t="shared" si="3"/>
        <v>291.04000000000002</v>
      </c>
      <c r="AD67" s="212">
        <f t="shared" si="4"/>
        <v>0</v>
      </c>
      <c r="AE67" s="212">
        <f t="shared" si="5"/>
        <v>634.28</v>
      </c>
      <c r="AF67" s="212">
        <f t="shared" si="6"/>
        <v>0.75780167264038234</v>
      </c>
      <c r="AG67" s="207">
        <f t="shared" si="0"/>
        <v>0</v>
      </c>
      <c r="AH67" s="192"/>
      <c r="AI67" s="192"/>
      <c r="AJ67" s="467">
        <v>837</v>
      </c>
      <c r="AK67" s="192">
        <v>343.24</v>
      </c>
      <c r="AL67" s="192"/>
      <c r="AM67" s="192"/>
      <c r="AN67" s="192"/>
      <c r="AO67" s="192"/>
      <c r="AP67" s="192">
        <f>(-202.72)</f>
        <v>-202.72</v>
      </c>
      <c r="AQ67" s="192">
        <v>291.04000000000002</v>
      </c>
      <c r="AR67" s="192"/>
      <c r="AS67" s="467"/>
      <c r="AT67" s="192"/>
      <c r="AU67" s="194"/>
      <c r="AV67" s="472"/>
      <c r="AW67" s="194"/>
      <c r="AX67" s="194"/>
      <c r="AY67" s="194"/>
      <c r="AZ67" s="335"/>
      <c r="BA67" s="335"/>
      <c r="BB67" s="194"/>
      <c r="BC67" s="194"/>
      <c r="BD67" s="514"/>
      <c r="BE67" s="530"/>
      <c r="BF67" s="516">
        <f t="shared" si="10"/>
        <v>634.28</v>
      </c>
      <c r="BG67" s="123"/>
      <c r="BH67" s="287"/>
      <c r="BI67" s="123"/>
      <c r="BJ67" s="123"/>
      <c r="BK67" s="123"/>
      <c r="BL67" s="123"/>
      <c r="BM67" s="123"/>
      <c r="BN67" s="123"/>
      <c r="BO67" s="123"/>
      <c r="BP67" s="123"/>
    </row>
    <row r="68" spans="1:68" ht="38.25" customHeight="1">
      <c r="A68" s="727"/>
      <c r="B68" s="630"/>
      <c r="C68" s="35" t="s">
        <v>183</v>
      </c>
      <c r="D68" s="35"/>
      <c r="E68" s="720"/>
      <c r="F68" s="145" t="s">
        <v>332</v>
      </c>
      <c r="G68" s="449" t="s">
        <v>217</v>
      </c>
      <c r="H68" s="169"/>
      <c r="I68" s="169"/>
      <c r="J68" s="169">
        <v>1</v>
      </c>
      <c r="K68" s="169"/>
      <c r="L68" s="169"/>
      <c r="M68" s="169"/>
      <c r="N68" s="169"/>
      <c r="O68" s="169"/>
      <c r="P68" s="169"/>
      <c r="Q68" s="169"/>
      <c r="R68" s="169"/>
      <c r="S68" s="169"/>
      <c r="T68" s="81" t="s">
        <v>55</v>
      </c>
      <c r="U68" s="178" t="s">
        <v>63</v>
      </c>
      <c r="V68" s="147" t="s">
        <v>65</v>
      </c>
      <c r="W68" s="179">
        <v>530403</v>
      </c>
      <c r="X68" s="144" t="s">
        <v>64</v>
      </c>
      <c r="Y68" s="207">
        <v>100</v>
      </c>
      <c r="Z68" s="191">
        <f>(-100)</f>
        <v>-100</v>
      </c>
      <c r="AA68" s="256">
        <f>SUM(Y68+Z68)</f>
        <v>0</v>
      </c>
      <c r="AB68" s="207">
        <f t="shared" si="2"/>
        <v>0</v>
      </c>
      <c r="AC68" s="207">
        <f t="shared" si="3"/>
        <v>0</v>
      </c>
      <c r="AD68" s="207">
        <f t="shared" si="4"/>
        <v>0</v>
      </c>
      <c r="AE68" s="207">
        <f t="shared" si="5"/>
        <v>0</v>
      </c>
      <c r="AF68" s="207">
        <f t="shared" si="6"/>
        <v>0</v>
      </c>
      <c r="AG68" s="207">
        <f t="shared" si="0"/>
        <v>0</v>
      </c>
      <c r="AH68" s="192"/>
      <c r="AI68" s="192"/>
      <c r="AJ68" s="467"/>
      <c r="AK68" s="192"/>
      <c r="AL68" s="192">
        <v>100</v>
      </c>
      <c r="AM68" s="192"/>
      <c r="AN68" s="192"/>
      <c r="AO68" s="192"/>
      <c r="AP68" s="192">
        <f>(-100)</f>
        <v>-100</v>
      </c>
      <c r="AQ68" s="192"/>
      <c r="AR68" s="192"/>
      <c r="AS68" s="192"/>
      <c r="AT68" s="192"/>
      <c r="AU68" s="192"/>
      <c r="AV68" s="192"/>
      <c r="AW68" s="192"/>
      <c r="AX68" s="192"/>
      <c r="AY68" s="192"/>
      <c r="AZ68" s="333"/>
      <c r="BA68" s="333"/>
      <c r="BB68" s="192"/>
      <c r="BC68" s="192"/>
      <c r="BD68" s="509"/>
      <c r="BE68" s="526"/>
      <c r="BF68" s="516">
        <f t="shared" si="10"/>
        <v>0</v>
      </c>
      <c r="BG68" s="123"/>
      <c r="BH68" s="287"/>
      <c r="BI68" s="123"/>
      <c r="BJ68" s="123"/>
      <c r="BK68" s="123"/>
      <c r="BL68" s="123"/>
      <c r="BM68" s="123"/>
      <c r="BN68" s="123"/>
      <c r="BO68" s="123"/>
      <c r="BP68" s="123"/>
    </row>
    <row r="69" spans="1:68" ht="38.25" customHeight="1">
      <c r="A69" s="727"/>
      <c r="B69" s="630"/>
      <c r="C69" s="35" t="s">
        <v>183</v>
      </c>
      <c r="D69" s="35"/>
      <c r="E69" s="720"/>
      <c r="F69" s="55" t="s">
        <v>333</v>
      </c>
      <c r="G69" s="448" t="s">
        <v>206</v>
      </c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81" t="s">
        <v>53</v>
      </c>
      <c r="U69" s="178" t="s">
        <v>61</v>
      </c>
      <c r="V69" s="147" t="s">
        <v>59</v>
      </c>
      <c r="W69" s="179">
        <v>840103</v>
      </c>
      <c r="X69" s="144" t="s">
        <v>64</v>
      </c>
      <c r="Y69" s="191">
        <v>0</v>
      </c>
      <c r="Z69" s="191"/>
      <c r="AA69" s="256">
        <f t="shared" si="7"/>
        <v>0</v>
      </c>
      <c r="AB69" s="207">
        <f t="shared" si="2"/>
        <v>0</v>
      </c>
      <c r="AC69" s="207">
        <f t="shared" si="3"/>
        <v>0</v>
      </c>
      <c r="AD69" s="207">
        <f t="shared" si="4"/>
        <v>0</v>
      </c>
      <c r="AE69" s="207">
        <f t="shared" si="5"/>
        <v>0</v>
      </c>
      <c r="AF69" s="207" t="str">
        <f t="shared" si="6"/>
        <v>Sin recurso</v>
      </c>
      <c r="AG69" s="207">
        <f t="shared" si="0"/>
        <v>0</v>
      </c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509"/>
      <c r="BE69" s="526"/>
      <c r="BF69" s="516">
        <f t="shared" si="10"/>
        <v>0</v>
      </c>
      <c r="BG69" s="123"/>
      <c r="BH69" s="287"/>
      <c r="BI69" s="123"/>
      <c r="BJ69" s="123"/>
      <c r="BK69" s="123"/>
      <c r="BL69" s="123"/>
      <c r="BM69" s="123"/>
      <c r="BN69" s="123"/>
      <c r="BO69" s="123"/>
      <c r="BP69" s="123"/>
    </row>
    <row r="70" spans="1:68" ht="38.25" customHeight="1">
      <c r="A70" s="727"/>
      <c r="B70" s="630"/>
      <c r="C70" s="35" t="s">
        <v>183</v>
      </c>
      <c r="D70" s="35"/>
      <c r="E70" s="720"/>
      <c r="F70" s="55" t="s">
        <v>334</v>
      </c>
      <c r="G70" s="448" t="s">
        <v>207</v>
      </c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81" t="s">
        <v>53</v>
      </c>
      <c r="U70" s="178" t="s">
        <v>58</v>
      </c>
      <c r="V70" s="147" t="s">
        <v>59</v>
      </c>
      <c r="W70" s="179">
        <v>840104</v>
      </c>
      <c r="X70" s="144" t="s">
        <v>71</v>
      </c>
      <c r="Y70" s="191">
        <v>0</v>
      </c>
      <c r="Z70" s="191"/>
      <c r="AA70" s="256">
        <f t="shared" si="7"/>
        <v>0</v>
      </c>
      <c r="AB70" s="207">
        <f t="shared" si="2"/>
        <v>0</v>
      </c>
      <c r="AC70" s="207">
        <f t="shared" si="3"/>
        <v>0</v>
      </c>
      <c r="AD70" s="207">
        <f t="shared" si="4"/>
        <v>0</v>
      </c>
      <c r="AE70" s="207">
        <f t="shared" si="5"/>
        <v>0</v>
      </c>
      <c r="AF70" s="207" t="str">
        <f t="shared" si="6"/>
        <v>Sin recurso</v>
      </c>
      <c r="AG70" s="207">
        <f t="shared" si="0"/>
        <v>0</v>
      </c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509"/>
      <c r="BE70" s="526"/>
      <c r="BF70" s="516">
        <f t="shared" si="10"/>
        <v>0</v>
      </c>
      <c r="BG70" s="123"/>
      <c r="BH70" s="287"/>
      <c r="BI70" s="123"/>
      <c r="BJ70" s="123"/>
      <c r="BK70" s="123"/>
      <c r="BL70" s="123"/>
      <c r="BM70" s="123"/>
      <c r="BN70" s="123"/>
      <c r="BO70" s="123"/>
      <c r="BP70" s="123"/>
    </row>
    <row r="71" spans="1:68" ht="38.25" customHeight="1">
      <c r="A71" s="727"/>
      <c r="B71" s="630"/>
      <c r="C71" s="630" t="s">
        <v>198</v>
      </c>
      <c r="D71" s="630"/>
      <c r="E71" s="720"/>
      <c r="F71" s="712" t="s">
        <v>335</v>
      </c>
      <c r="G71" s="715" t="s">
        <v>90</v>
      </c>
      <c r="H71" s="168">
        <v>1</v>
      </c>
      <c r="I71" s="168">
        <v>1</v>
      </c>
      <c r="J71" s="168">
        <v>1</v>
      </c>
      <c r="K71" s="168">
        <v>1</v>
      </c>
      <c r="L71" s="168">
        <v>1</v>
      </c>
      <c r="M71" s="168">
        <v>1</v>
      </c>
      <c r="N71" s="168">
        <v>1</v>
      </c>
      <c r="O71" s="168">
        <v>1</v>
      </c>
      <c r="P71" s="168">
        <v>1</v>
      </c>
      <c r="Q71" s="168">
        <v>1</v>
      </c>
      <c r="R71" s="168">
        <v>1</v>
      </c>
      <c r="S71" s="168">
        <v>1</v>
      </c>
      <c r="T71" s="622" t="s">
        <v>53</v>
      </c>
      <c r="U71" s="621" t="s">
        <v>91</v>
      </c>
      <c r="V71" s="629" t="s">
        <v>92</v>
      </c>
      <c r="W71" s="136" t="s">
        <v>93</v>
      </c>
      <c r="X71" s="137" t="s">
        <v>94</v>
      </c>
      <c r="Y71" s="207">
        <v>2642</v>
      </c>
      <c r="Z71" s="340">
        <f>1662.51-1351.31-719.2</f>
        <v>-408</v>
      </c>
      <c r="AA71" s="256">
        <f t="shared" ref="AA71:AA76" si="12">SUM(Y71+Z71)</f>
        <v>2234</v>
      </c>
      <c r="AB71" s="207">
        <f t="shared" si="2"/>
        <v>1434.83</v>
      </c>
      <c r="AC71" s="207">
        <f t="shared" si="3"/>
        <v>571.79</v>
      </c>
      <c r="AD71" s="207">
        <f t="shared" si="4"/>
        <v>227.37999999999997</v>
      </c>
      <c r="AE71" s="207">
        <f t="shared" si="5"/>
        <v>2234</v>
      </c>
      <c r="AF71" s="207">
        <f t="shared" si="6"/>
        <v>0.84557153671461016</v>
      </c>
      <c r="AG71" s="207">
        <f t="shared" si="0"/>
        <v>0</v>
      </c>
      <c r="AH71" s="468">
        <v>220.166666666666</v>
      </c>
      <c r="AI71" s="257">
        <v>313.68</v>
      </c>
      <c r="AJ71" s="257">
        <v>220.166666666666</v>
      </c>
      <c r="AK71" s="257">
        <v>394.59</v>
      </c>
      <c r="AL71" s="257">
        <v>220.166666666666</v>
      </c>
      <c r="AM71" s="257">
        <v>376.92</v>
      </c>
      <c r="AN71" s="257">
        <v>220.166666666666</v>
      </c>
      <c r="AO71" s="257">
        <v>349.64</v>
      </c>
      <c r="AP71" s="257">
        <f>(220.166666666666+207.81375)</f>
        <v>427.98041666666597</v>
      </c>
      <c r="AQ71" s="257">
        <v>76.22</v>
      </c>
      <c r="AR71" s="257">
        <f>(220.166666666666+207.81375)</f>
        <v>427.98041666666597</v>
      </c>
      <c r="AS71" s="257">
        <v>361.42</v>
      </c>
      <c r="AT71" s="257">
        <f>(220.166666666666+207.81375)</f>
        <v>427.98041666666597</v>
      </c>
      <c r="AU71" s="257">
        <v>100.4</v>
      </c>
      <c r="AV71" s="257">
        <f>(220.166666666666+207.81375)</f>
        <v>427.98041666666597</v>
      </c>
      <c r="AW71" s="257">
        <v>33.75</v>
      </c>
      <c r="AX71" s="257">
        <f>(220.166666666666+207.81375)</f>
        <v>427.98041666666597</v>
      </c>
      <c r="AY71" s="257">
        <v>8.9499999999999993</v>
      </c>
      <c r="AZ71" s="257">
        <f>(220.166666666666+207.81375)</f>
        <v>427.98041666666597</v>
      </c>
      <c r="BA71" s="257">
        <v>119.31</v>
      </c>
      <c r="BB71" s="257">
        <f>(220.166666666666+207.81375)-1351.31</f>
        <v>-923.32958333333397</v>
      </c>
      <c r="BC71" s="257">
        <v>86.45</v>
      </c>
      <c r="BD71" s="510">
        <f>(220.166666666666+207.81375-719.2)</f>
        <v>-291.21958333333407</v>
      </c>
      <c r="BE71" s="527">
        <v>12.67</v>
      </c>
      <c r="BF71" s="518">
        <f t="shared" si="10"/>
        <v>2233.9999999999914</v>
      </c>
      <c r="BG71" s="123"/>
      <c r="BH71" s="287"/>
      <c r="BI71" s="123"/>
      <c r="BJ71" s="123"/>
      <c r="BK71" s="123"/>
      <c r="BL71" s="123"/>
      <c r="BM71" s="123"/>
      <c r="BN71" s="123"/>
      <c r="BO71" s="123"/>
      <c r="BP71" s="123"/>
    </row>
    <row r="72" spans="1:68" ht="38.25" customHeight="1">
      <c r="A72" s="727"/>
      <c r="B72" s="630"/>
      <c r="C72" s="630"/>
      <c r="D72" s="630"/>
      <c r="E72" s="720"/>
      <c r="F72" s="712"/>
      <c r="G72" s="716"/>
      <c r="H72" s="168">
        <v>1</v>
      </c>
      <c r="I72" s="168">
        <v>1</v>
      </c>
      <c r="J72" s="168">
        <v>1</v>
      </c>
      <c r="K72" s="168">
        <v>1</v>
      </c>
      <c r="L72" s="168">
        <v>1</v>
      </c>
      <c r="M72" s="168">
        <v>1</v>
      </c>
      <c r="N72" s="168">
        <v>1</v>
      </c>
      <c r="O72" s="168">
        <v>1</v>
      </c>
      <c r="P72" s="168">
        <v>1</v>
      </c>
      <c r="Q72" s="168">
        <v>1</v>
      </c>
      <c r="R72" s="168">
        <v>1</v>
      </c>
      <c r="S72" s="168">
        <v>1</v>
      </c>
      <c r="T72" s="623"/>
      <c r="U72" s="621"/>
      <c r="V72" s="629"/>
      <c r="W72" s="136" t="s">
        <v>95</v>
      </c>
      <c r="X72" s="137" t="s">
        <v>96</v>
      </c>
      <c r="Y72" s="207">
        <v>3410</v>
      </c>
      <c r="Z72" s="207">
        <f>-1148.78</f>
        <v>-1148.78</v>
      </c>
      <c r="AA72" s="256">
        <f t="shared" si="12"/>
        <v>2261.2200000000003</v>
      </c>
      <c r="AB72" s="207">
        <f t="shared" si="2"/>
        <v>1043.19</v>
      </c>
      <c r="AC72" s="207">
        <f t="shared" si="3"/>
        <v>482.39</v>
      </c>
      <c r="AD72" s="207">
        <f t="shared" si="4"/>
        <v>735.63999999999987</v>
      </c>
      <c r="AE72" s="207">
        <f t="shared" si="5"/>
        <v>2261.2199999999998</v>
      </c>
      <c r="AF72" s="207">
        <f t="shared" si="6"/>
        <v>0.66311436950146618</v>
      </c>
      <c r="AG72" s="207">
        <f t="shared" si="0"/>
        <v>4.5474735088646412E-13</v>
      </c>
      <c r="AH72" s="468">
        <v>284.166666666666</v>
      </c>
      <c r="AI72" s="257">
        <v>263.57</v>
      </c>
      <c r="AJ72" s="468">
        <v>284.166666666666</v>
      </c>
      <c r="AK72" s="257">
        <v>249.67</v>
      </c>
      <c r="AL72" s="468">
        <v>284.166666666666</v>
      </c>
      <c r="AM72" s="257">
        <v>266.57</v>
      </c>
      <c r="AN72" s="468">
        <v>284.166666666666</v>
      </c>
      <c r="AO72" s="257">
        <v>263.38</v>
      </c>
      <c r="AP72" s="468">
        <v>284.166666666666</v>
      </c>
      <c r="AQ72" s="257">
        <v>75.2</v>
      </c>
      <c r="AR72" s="468">
        <v>284.166666666666</v>
      </c>
      <c r="AS72" s="257"/>
      <c r="AT72" s="468">
        <v>284.166666666666</v>
      </c>
      <c r="AU72" s="257">
        <v>239.81</v>
      </c>
      <c r="AV72" s="468">
        <v>284.166666666666</v>
      </c>
      <c r="AW72" s="257">
        <v>167.38</v>
      </c>
      <c r="AX72" s="468">
        <v>284.166666666666</v>
      </c>
      <c r="AY72" s="257">
        <v>187.58</v>
      </c>
      <c r="AZ72" s="468">
        <v>284.166666666666</v>
      </c>
      <c r="BA72" s="257">
        <v>183.32</v>
      </c>
      <c r="BB72" s="468">
        <v>284.166666666666</v>
      </c>
      <c r="BC72" s="257">
        <v>176.93</v>
      </c>
      <c r="BD72" s="511">
        <f>284.166666666666-1148.78</f>
        <v>-864.61333333333391</v>
      </c>
      <c r="BE72" s="527">
        <v>187.81</v>
      </c>
      <c r="BF72" s="518">
        <f t="shared" si="10"/>
        <v>2261.2199999999921</v>
      </c>
      <c r="BG72" s="123"/>
      <c r="BH72" s="287"/>
      <c r="BI72" s="123"/>
      <c r="BJ72" s="123"/>
      <c r="BK72" s="123"/>
      <c r="BL72" s="123"/>
      <c r="BM72" s="123"/>
      <c r="BN72" s="123"/>
      <c r="BO72" s="123"/>
      <c r="BP72" s="123"/>
    </row>
    <row r="73" spans="1:68" ht="38.25" customHeight="1">
      <c r="A73" s="727"/>
      <c r="B73" s="630"/>
      <c r="C73" s="630"/>
      <c r="D73" s="630"/>
      <c r="E73" s="720"/>
      <c r="F73" s="712"/>
      <c r="G73" s="716"/>
      <c r="H73" s="168">
        <v>1</v>
      </c>
      <c r="I73" s="168">
        <v>1</v>
      </c>
      <c r="J73" s="168">
        <v>1</v>
      </c>
      <c r="K73" s="168">
        <v>1</v>
      </c>
      <c r="L73" s="168">
        <v>1</v>
      </c>
      <c r="M73" s="168">
        <v>1</v>
      </c>
      <c r="N73" s="168">
        <v>1</v>
      </c>
      <c r="O73" s="168">
        <v>1</v>
      </c>
      <c r="P73" s="168">
        <v>1</v>
      </c>
      <c r="Q73" s="168">
        <v>1</v>
      </c>
      <c r="R73" s="168">
        <v>1</v>
      </c>
      <c r="S73" s="168">
        <v>1</v>
      </c>
      <c r="T73" s="623"/>
      <c r="U73" s="621"/>
      <c r="V73" s="629"/>
      <c r="W73" s="136" t="s">
        <v>97</v>
      </c>
      <c r="X73" s="137" t="s">
        <v>98</v>
      </c>
      <c r="Y73" s="207">
        <v>18385</v>
      </c>
      <c r="Z73" s="340">
        <f>5094.32-0.21</f>
        <v>5094.1099999999997</v>
      </c>
      <c r="AA73" s="256">
        <f t="shared" si="12"/>
        <v>23479.11</v>
      </c>
      <c r="AB73" s="207">
        <f t="shared" si="2"/>
        <v>7826.4400000000005</v>
      </c>
      <c r="AC73" s="207">
        <f t="shared" si="3"/>
        <v>7657.5</v>
      </c>
      <c r="AD73" s="207">
        <f t="shared" si="4"/>
        <v>7743.67</v>
      </c>
      <c r="AE73" s="207">
        <f t="shared" si="5"/>
        <v>23227.61</v>
      </c>
      <c r="AF73" s="207">
        <f t="shared" si="6"/>
        <v>1.2634000543921675</v>
      </c>
      <c r="AG73" s="207">
        <f t="shared" si="0"/>
        <v>251.5</v>
      </c>
      <c r="AH73" s="468">
        <v>1532.0833333333301</v>
      </c>
      <c r="AI73" s="257">
        <v>1919.53</v>
      </c>
      <c r="AJ73" s="257">
        <v>1532.0833333333301</v>
      </c>
      <c r="AK73" s="257">
        <v>1970.82</v>
      </c>
      <c r="AL73" s="257">
        <v>1532.0833333333301</v>
      </c>
      <c r="AM73" s="257">
        <v>1981.69</v>
      </c>
      <c r="AN73" s="257">
        <v>1532.0833333333301</v>
      </c>
      <c r="AO73" s="257">
        <v>1954.4</v>
      </c>
      <c r="AP73" s="257">
        <f>(1532.08333333333+636.79)</f>
        <v>2168.8733333333303</v>
      </c>
      <c r="AQ73" s="257">
        <v>1912.13</v>
      </c>
      <c r="AR73" s="257">
        <f>(1532.08333333333+636.79)</f>
        <v>2168.8733333333303</v>
      </c>
      <c r="AS73" s="257">
        <v>1907.67</v>
      </c>
      <c r="AT73" s="257">
        <f>(1532.08333333333+636.79)</f>
        <v>2168.8733333333303</v>
      </c>
      <c r="AU73" s="257">
        <v>1914.91</v>
      </c>
      <c r="AV73" s="257">
        <f>(1532.08333333333+636.79)</f>
        <v>2168.8733333333303</v>
      </c>
      <c r="AW73" s="257">
        <v>1922.79</v>
      </c>
      <c r="AX73" s="257">
        <f>(1532.08333333333+636.79)</f>
        <v>2168.8733333333303</v>
      </c>
      <c r="AY73" s="257">
        <v>1934.11</v>
      </c>
      <c r="AZ73" s="257">
        <f>(1532.08333333333+636.79)</f>
        <v>2168.8733333333303</v>
      </c>
      <c r="BA73" s="257">
        <v>1922.02</v>
      </c>
      <c r="BB73" s="257">
        <f>(1532.08333333333+636.79)</f>
        <v>2168.8733333333303</v>
      </c>
      <c r="BC73" s="257">
        <v>1940.36</v>
      </c>
      <c r="BD73" s="510">
        <f>(1532.08333333333+636.79-0.21)</f>
        <v>2168.6633333333302</v>
      </c>
      <c r="BE73" s="527">
        <v>1947.18</v>
      </c>
      <c r="BF73" s="518">
        <f t="shared" si="10"/>
        <v>23479.109999999957</v>
      </c>
      <c r="BG73" s="123"/>
      <c r="BH73" s="287"/>
      <c r="BI73" s="123"/>
      <c r="BJ73" s="123"/>
      <c r="BK73" s="123"/>
      <c r="BL73" s="123"/>
      <c r="BM73" s="123"/>
      <c r="BN73" s="123"/>
      <c r="BO73" s="123"/>
      <c r="BP73" s="123"/>
    </row>
    <row r="74" spans="1:68" s="98" customFormat="1" ht="39.75" customHeight="1">
      <c r="A74" s="727"/>
      <c r="B74" s="630"/>
      <c r="C74" s="630"/>
      <c r="D74" s="630"/>
      <c r="E74" s="720"/>
      <c r="F74" s="712"/>
      <c r="G74" s="717"/>
      <c r="H74" s="168">
        <v>1</v>
      </c>
      <c r="I74" s="168">
        <v>1</v>
      </c>
      <c r="J74" s="168">
        <v>1</v>
      </c>
      <c r="K74" s="168">
        <v>1</v>
      </c>
      <c r="L74" s="168">
        <v>1</v>
      </c>
      <c r="M74" s="168">
        <v>1</v>
      </c>
      <c r="N74" s="168">
        <v>1</v>
      </c>
      <c r="O74" s="168">
        <v>1</v>
      </c>
      <c r="P74" s="168">
        <v>1</v>
      </c>
      <c r="Q74" s="168">
        <v>1</v>
      </c>
      <c r="R74" s="168">
        <v>1</v>
      </c>
      <c r="S74" s="168">
        <v>1</v>
      </c>
      <c r="T74" s="623"/>
      <c r="U74" s="621"/>
      <c r="V74" s="629"/>
      <c r="W74" s="136" t="s">
        <v>99</v>
      </c>
      <c r="X74" s="137" t="s">
        <v>100</v>
      </c>
      <c r="Y74" s="207">
        <v>236</v>
      </c>
      <c r="Z74" s="332">
        <v>-166.48</v>
      </c>
      <c r="AA74" s="256">
        <f t="shared" si="12"/>
        <v>69.52000000000001</v>
      </c>
      <c r="AB74" s="207">
        <f t="shared" si="2"/>
        <v>69.52000000000001</v>
      </c>
      <c r="AC74" s="207">
        <f t="shared" si="3"/>
        <v>0</v>
      </c>
      <c r="AD74" s="207">
        <f t="shared" si="4"/>
        <v>0</v>
      </c>
      <c r="AE74" s="207">
        <f t="shared" si="5"/>
        <v>69.52000000000001</v>
      </c>
      <c r="AF74" s="207">
        <f t="shared" si="6"/>
        <v>0.2945762711864407</v>
      </c>
      <c r="AG74" s="207">
        <f t="shared" si="0"/>
        <v>0</v>
      </c>
      <c r="AH74" s="468">
        <v>19.6666666666666</v>
      </c>
      <c r="AI74" s="257"/>
      <c r="AJ74" s="257">
        <v>19.6666666666666</v>
      </c>
      <c r="AK74" s="257">
        <v>31.51</v>
      </c>
      <c r="AL74" s="257">
        <v>19.6666666666666</v>
      </c>
      <c r="AM74" s="257">
        <v>20.5</v>
      </c>
      <c r="AN74" s="257">
        <v>19.6666666666666</v>
      </c>
      <c r="AO74" s="257">
        <v>17.510000000000002</v>
      </c>
      <c r="AP74" s="257">
        <v>19.6666666666666</v>
      </c>
      <c r="AQ74" s="257"/>
      <c r="AR74" s="257">
        <v>19.6666666666666</v>
      </c>
      <c r="AS74" s="257"/>
      <c r="AT74" s="257">
        <v>19.6666666666666</v>
      </c>
      <c r="AU74" s="257"/>
      <c r="AV74" s="257">
        <v>19.6666666666666</v>
      </c>
      <c r="AW74" s="257"/>
      <c r="AX74" s="257">
        <v>19.6666666666666</v>
      </c>
      <c r="AY74" s="257"/>
      <c r="AZ74" s="257">
        <v>19.6666666666666</v>
      </c>
      <c r="BA74" s="257"/>
      <c r="BB74" s="468">
        <f>19.6666666666666-166.48</f>
        <v>-146.81333333333339</v>
      </c>
      <c r="BC74" s="257"/>
      <c r="BD74" s="511">
        <v>19.6666666666666</v>
      </c>
      <c r="BE74" s="527"/>
      <c r="BF74" s="518">
        <f t="shared" si="10"/>
        <v>69.519999999999214</v>
      </c>
      <c r="BG74" s="341">
        <f>+BF74-AA74</f>
        <v>-7.9580786405131221E-13</v>
      </c>
      <c r="BH74" s="287"/>
      <c r="BI74" s="123"/>
      <c r="BJ74" s="123"/>
      <c r="BK74" s="123"/>
      <c r="BL74" s="123"/>
      <c r="BM74" s="123"/>
      <c r="BN74" s="123"/>
      <c r="BO74" s="123"/>
      <c r="BP74" s="123"/>
    </row>
    <row r="75" spans="1:68" ht="115.5" customHeight="1">
      <c r="A75" s="727"/>
      <c r="B75" s="630"/>
      <c r="C75" s="35" t="s">
        <v>184</v>
      </c>
      <c r="D75" s="50"/>
      <c r="E75" s="720"/>
      <c r="F75" s="148" t="s">
        <v>336</v>
      </c>
      <c r="G75" s="450" t="s">
        <v>348</v>
      </c>
      <c r="H75" s="169">
        <v>1</v>
      </c>
      <c r="I75" s="169">
        <v>1</v>
      </c>
      <c r="J75" s="169">
        <v>1</v>
      </c>
      <c r="K75" s="169">
        <v>1</v>
      </c>
      <c r="L75" s="169">
        <v>1</v>
      </c>
      <c r="M75" s="169">
        <v>1</v>
      </c>
      <c r="N75" s="169">
        <v>1</v>
      </c>
      <c r="O75" s="169">
        <v>1</v>
      </c>
      <c r="P75" s="169">
        <v>1</v>
      </c>
      <c r="Q75" s="169">
        <v>1</v>
      </c>
      <c r="R75" s="169">
        <v>1</v>
      </c>
      <c r="S75" s="169">
        <v>1</v>
      </c>
      <c r="T75" s="151" t="s">
        <v>53</v>
      </c>
      <c r="U75" s="425" t="s">
        <v>101</v>
      </c>
      <c r="V75" s="424" t="s">
        <v>102</v>
      </c>
      <c r="W75" s="465" t="s">
        <v>103</v>
      </c>
      <c r="X75" s="348" t="s">
        <v>104</v>
      </c>
      <c r="Y75" s="207">
        <v>616</v>
      </c>
      <c r="Z75" s="207">
        <f>150-35.53</f>
        <v>114.47</v>
      </c>
      <c r="AA75" s="256">
        <f t="shared" si="12"/>
        <v>730.47</v>
      </c>
      <c r="AB75" s="207">
        <f t="shared" si="2"/>
        <v>269.23</v>
      </c>
      <c r="AC75" s="207">
        <f t="shared" si="3"/>
        <v>441.24</v>
      </c>
      <c r="AD75" s="207">
        <f t="shared" si="4"/>
        <v>20</v>
      </c>
      <c r="AE75" s="207">
        <f t="shared" si="5"/>
        <v>730.47</v>
      </c>
      <c r="AF75" s="207">
        <f t="shared" si="6"/>
        <v>1.1858279220779222</v>
      </c>
      <c r="AG75" s="207">
        <f t="shared" si="0"/>
        <v>0</v>
      </c>
      <c r="AH75" s="468">
        <v>51.3333333333333</v>
      </c>
      <c r="AI75" s="257"/>
      <c r="AJ75" s="468">
        <v>51.3333333333333</v>
      </c>
      <c r="AK75" s="257">
        <v>269.23</v>
      </c>
      <c r="AL75" s="468">
        <f>51.3333333333333+15</f>
        <v>66.3333333333333</v>
      </c>
      <c r="AM75" s="257"/>
      <c r="AN75" s="468">
        <f>51.3333333333333+15</f>
        <v>66.3333333333333</v>
      </c>
      <c r="AO75" s="257"/>
      <c r="AP75" s="468">
        <f>51.3333333333333+15</f>
        <v>66.3333333333333</v>
      </c>
      <c r="AQ75" s="257"/>
      <c r="AR75" s="468">
        <f>51.3333333333333+15</f>
        <v>66.3333333333333</v>
      </c>
      <c r="AS75" s="292"/>
      <c r="AT75" s="468">
        <f>51.3333333333333+15</f>
        <v>66.3333333333333</v>
      </c>
      <c r="AU75" s="293">
        <v>441.24</v>
      </c>
      <c r="AV75" s="468">
        <f>51.3333333333333+15</f>
        <v>66.3333333333333</v>
      </c>
      <c r="AW75" s="257"/>
      <c r="AX75" s="468">
        <f>51.3333333333333+15</f>
        <v>66.3333333333333</v>
      </c>
      <c r="AY75" s="257"/>
      <c r="AZ75" s="468">
        <f>51.3333333333333+15</f>
        <v>66.3333333333333</v>
      </c>
      <c r="BA75" s="257">
        <v>10</v>
      </c>
      <c r="BB75" s="468">
        <f>51.3333333333333+15-35.53</f>
        <v>30.803333333333299</v>
      </c>
      <c r="BC75" s="257">
        <v>10</v>
      </c>
      <c r="BD75" s="511">
        <f>51.3333333333333+15</f>
        <v>66.3333333333333</v>
      </c>
      <c r="BE75" s="527"/>
      <c r="BF75" s="520">
        <f t="shared" si="10"/>
        <v>730.46999999999957</v>
      </c>
      <c r="BG75" s="123"/>
      <c r="BH75" s="287"/>
      <c r="BI75" s="123"/>
      <c r="BJ75" s="123"/>
      <c r="BK75" s="123"/>
      <c r="BL75" s="123"/>
      <c r="BM75" s="123"/>
      <c r="BN75" s="123"/>
      <c r="BO75" s="123"/>
      <c r="BP75" s="123"/>
    </row>
    <row r="76" spans="1:68" ht="72" customHeight="1">
      <c r="A76" s="727"/>
      <c r="B76" s="630"/>
      <c r="C76" s="630" t="s">
        <v>201</v>
      </c>
      <c r="D76" s="630"/>
      <c r="E76" s="720"/>
      <c r="F76" s="728" t="s">
        <v>337</v>
      </c>
      <c r="G76" s="729" t="s">
        <v>173</v>
      </c>
      <c r="H76" s="618"/>
      <c r="I76" s="618"/>
      <c r="J76" s="618"/>
      <c r="K76" s="618"/>
      <c r="L76" s="618"/>
      <c r="M76" s="618"/>
      <c r="N76" s="618"/>
      <c r="O76" s="618"/>
      <c r="P76" s="618"/>
      <c r="Q76" s="618"/>
      <c r="R76" s="618"/>
      <c r="S76" s="618">
        <v>1</v>
      </c>
      <c r="T76" s="622" t="s">
        <v>53</v>
      </c>
      <c r="U76" s="621" t="s">
        <v>128</v>
      </c>
      <c r="V76" s="629" t="s">
        <v>102</v>
      </c>
      <c r="W76" s="136" t="s">
        <v>105</v>
      </c>
      <c r="X76" s="348" t="s">
        <v>70</v>
      </c>
      <c r="Y76" s="212">
        <v>1638.78</v>
      </c>
      <c r="Z76" s="212">
        <f>-630.87</f>
        <v>-630.87</v>
      </c>
      <c r="AA76" s="256">
        <f t="shared" si="12"/>
        <v>1007.91</v>
      </c>
      <c r="AB76" s="207">
        <f t="shared" si="2"/>
        <v>0</v>
      </c>
      <c r="AC76" s="207">
        <f t="shared" si="3"/>
        <v>0</v>
      </c>
      <c r="AD76" s="207">
        <f t="shared" si="4"/>
        <v>1007.91</v>
      </c>
      <c r="AE76" s="207">
        <f t="shared" si="5"/>
        <v>1007.91</v>
      </c>
      <c r="AF76" s="207">
        <f t="shared" si="6"/>
        <v>0.61503679566506786</v>
      </c>
      <c r="AG76" s="207">
        <f t="shared" si="0"/>
        <v>0</v>
      </c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  <c r="AY76" s="257"/>
      <c r="AZ76" s="257"/>
      <c r="BA76" s="257"/>
      <c r="BB76" s="473">
        <v>1638.78</v>
      </c>
      <c r="BC76" s="257"/>
      <c r="BD76" s="510">
        <f>-630.87</f>
        <v>-630.87</v>
      </c>
      <c r="BE76" s="527">
        <v>1007.91</v>
      </c>
      <c r="BF76" s="518">
        <f t="shared" si="10"/>
        <v>1007.91</v>
      </c>
      <c r="BG76" s="123"/>
      <c r="BH76" s="287"/>
      <c r="BI76" s="123"/>
      <c r="BJ76" s="123"/>
      <c r="BK76" s="123"/>
      <c r="BL76" s="123"/>
      <c r="BM76" s="123"/>
      <c r="BN76" s="123"/>
      <c r="BO76" s="123"/>
      <c r="BP76" s="123"/>
    </row>
    <row r="77" spans="1:68" ht="76.5" customHeight="1">
      <c r="A77" s="727"/>
      <c r="B77" s="630"/>
      <c r="C77" s="630"/>
      <c r="D77" s="630"/>
      <c r="E77" s="721"/>
      <c r="F77" s="728"/>
      <c r="G77" s="729"/>
      <c r="H77" s="619"/>
      <c r="I77" s="619"/>
      <c r="J77" s="619"/>
      <c r="K77" s="619"/>
      <c r="L77" s="619"/>
      <c r="M77" s="619"/>
      <c r="N77" s="619"/>
      <c r="O77" s="619"/>
      <c r="P77" s="619"/>
      <c r="Q77" s="619"/>
      <c r="R77" s="619"/>
      <c r="S77" s="619"/>
      <c r="T77" s="699"/>
      <c r="U77" s="621"/>
      <c r="V77" s="629"/>
      <c r="W77" s="50">
        <v>530803</v>
      </c>
      <c r="X77" s="80" t="s">
        <v>192</v>
      </c>
      <c r="Y77" s="191">
        <v>0</v>
      </c>
      <c r="Z77" s="191"/>
      <c r="AA77" s="256">
        <f t="shared" si="7"/>
        <v>0</v>
      </c>
      <c r="AB77" s="207">
        <f t="shared" si="2"/>
        <v>0</v>
      </c>
      <c r="AC77" s="207">
        <f t="shared" si="3"/>
        <v>0</v>
      </c>
      <c r="AD77" s="207">
        <f t="shared" si="4"/>
        <v>0</v>
      </c>
      <c r="AE77" s="207">
        <f t="shared" si="5"/>
        <v>0</v>
      </c>
      <c r="AF77" s="207" t="str">
        <f t="shared" si="6"/>
        <v>Sin recurso</v>
      </c>
      <c r="AG77" s="207">
        <f t="shared" si="0"/>
        <v>0</v>
      </c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509"/>
      <c r="BE77" s="526"/>
      <c r="BF77" s="516">
        <f t="shared" si="10"/>
        <v>0</v>
      </c>
      <c r="BG77" s="123"/>
      <c r="BH77" s="287"/>
      <c r="BI77" s="123"/>
      <c r="BJ77" s="123"/>
      <c r="BK77" s="123"/>
      <c r="BL77" s="123"/>
      <c r="BM77" s="123"/>
      <c r="BN77" s="123"/>
      <c r="BO77" s="123"/>
      <c r="BP77" s="123"/>
    </row>
    <row r="78" spans="1:68" ht="36.75" customHeight="1">
      <c r="A78" s="727"/>
      <c r="B78" s="630"/>
      <c r="C78" s="726" t="s">
        <v>185</v>
      </c>
      <c r="D78" s="630"/>
      <c r="E78" s="718" t="s">
        <v>212</v>
      </c>
      <c r="F78" s="722" t="s">
        <v>338</v>
      </c>
      <c r="G78" s="698" t="s">
        <v>217</v>
      </c>
      <c r="H78" s="615"/>
      <c r="I78" s="615">
        <v>1</v>
      </c>
      <c r="J78" s="615"/>
      <c r="K78" s="615">
        <v>1</v>
      </c>
      <c r="L78" s="615">
        <v>1</v>
      </c>
      <c r="M78" s="615">
        <v>1</v>
      </c>
      <c r="N78" s="615"/>
      <c r="O78" s="615">
        <v>1</v>
      </c>
      <c r="P78" s="615"/>
      <c r="Q78" s="615"/>
      <c r="R78" s="615"/>
      <c r="S78" s="615">
        <v>1</v>
      </c>
      <c r="T78" s="626" t="s">
        <v>55</v>
      </c>
      <c r="U78" s="672" t="s">
        <v>88</v>
      </c>
      <c r="V78" s="676" t="s">
        <v>89</v>
      </c>
      <c r="W78" s="149">
        <v>530704</v>
      </c>
      <c r="X78" s="80" t="s">
        <v>120</v>
      </c>
      <c r="Y78" s="207">
        <v>548</v>
      </c>
      <c r="Z78" s="191">
        <f>(-262.4+90 )</f>
        <v>-172.39999999999998</v>
      </c>
      <c r="AA78" s="256">
        <f>SUM(Y78+Z78)</f>
        <v>375.6</v>
      </c>
      <c r="AB78" s="207">
        <f t="shared" si="2"/>
        <v>285.60000000000002</v>
      </c>
      <c r="AC78" s="207">
        <f t="shared" si="3"/>
        <v>0</v>
      </c>
      <c r="AD78" s="207">
        <f>SUM(AY78,BA78,BC78,BE78)</f>
        <v>90</v>
      </c>
      <c r="AE78" s="207">
        <f>SUM(AI78,AK78,AM78,AO78,AQ78,AS78,AU78,AW78,AY78,BA78,BC78,BE78)</f>
        <v>375.6</v>
      </c>
      <c r="AF78" s="207">
        <f t="shared" si="6"/>
        <v>0.68540145985401468</v>
      </c>
      <c r="AG78" s="207">
        <f t="shared" ref="AG78:AG100" si="13">SUM(AA78-AE78)</f>
        <v>0</v>
      </c>
      <c r="AH78" s="192"/>
      <c r="AI78" s="192"/>
      <c r="AJ78" s="192">
        <v>180</v>
      </c>
      <c r="AK78" s="192">
        <v>285.60000000000002</v>
      </c>
      <c r="AL78" s="192"/>
      <c r="AM78" s="192"/>
      <c r="AN78" s="469">
        <v>122.666666666666</v>
      </c>
      <c r="AO78" s="192"/>
      <c r="AP78" s="192">
        <f>(-262.4)</f>
        <v>-262.39999999999998</v>
      </c>
      <c r="AQ78" s="192"/>
      <c r="AR78" s="192"/>
      <c r="AS78" s="192"/>
      <c r="AT78" s="192"/>
      <c r="AU78" s="192"/>
      <c r="AV78" s="469">
        <v>122.666666666666</v>
      </c>
      <c r="AW78" s="192"/>
      <c r="AX78" s="192"/>
      <c r="AY78" s="192"/>
      <c r="AZ78" s="333"/>
      <c r="BA78" s="333"/>
      <c r="BB78" s="192">
        <v>90</v>
      </c>
      <c r="BC78" s="467">
        <v>90</v>
      </c>
      <c r="BD78" s="512">
        <v>122.666666666666</v>
      </c>
      <c r="BE78" s="526"/>
      <c r="BF78" s="518">
        <f t="shared" ref="BF78:BF105" si="14">SUM(AH78,AJ78,AL78,AN78,AP78,AR78,AT78,AV78,AX78,AZ78,BB78,BD78)</f>
        <v>375.59999999999803</v>
      </c>
      <c r="BG78" s="123"/>
      <c r="BH78" s="287"/>
      <c r="BI78" s="123"/>
      <c r="BJ78" s="123"/>
      <c r="BK78" s="123"/>
      <c r="BL78" s="123"/>
      <c r="BM78" s="123"/>
      <c r="BN78" s="123"/>
      <c r="BO78" s="123"/>
      <c r="BP78" s="123"/>
    </row>
    <row r="79" spans="1:68" ht="40.5" customHeight="1">
      <c r="A79" s="727"/>
      <c r="B79" s="630"/>
      <c r="C79" s="726"/>
      <c r="D79" s="630"/>
      <c r="E79" s="718"/>
      <c r="F79" s="722"/>
      <c r="G79" s="698"/>
      <c r="H79" s="616"/>
      <c r="I79" s="616"/>
      <c r="J79" s="616"/>
      <c r="K79" s="616"/>
      <c r="L79" s="616"/>
      <c r="M79" s="616"/>
      <c r="N79" s="616"/>
      <c r="O79" s="616"/>
      <c r="P79" s="616"/>
      <c r="Q79" s="616"/>
      <c r="R79" s="616"/>
      <c r="S79" s="616"/>
      <c r="T79" s="627"/>
      <c r="U79" s="672"/>
      <c r="V79" s="676"/>
      <c r="W79" s="50">
        <v>530803</v>
      </c>
      <c r="X79" s="80" t="s">
        <v>192</v>
      </c>
      <c r="Y79" s="207">
        <v>120</v>
      </c>
      <c r="Z79" s="207">
        <v>-30</v>
      </c>
      <c r="AA79" s="256">
        <f>SUM(Y79+Z79)</f>
        <v>90</v>
      </c>
      <c r="AB79" s="207">
        <f t="shared" si="2"/>
        <v>0</v>
      </c>
      <c r="AC79" s="207">
        <f t="shared" si="3"/>
        <v>9.1</v>
      </c>
      <c r="AD79" s="207">
        <f>SUM(AY79,BA79,BC79,BE79)</f>
        <v>59</v>
      </c>
      <c r="AE79" s="207">
        <f>SUM(AI79,AK79,AM79,AO79,AQ79,AS79,AU79,AW79,AY79,BA79,BC79,BE79)</f>
        <v>68.099999999999994</v>
      </c>
      <c r="AF79" s="207">
        <f t="shared" si="6"/>
        <v>0.5675</v>
      </c>
      <c r="AG79" s="207">
        <f t="shared" si="13"/>
        <v>21.900000000000006</v>
      </c>
      <c r="AH79" s="192">
        <v>10</v>
      </c>
      <c r="AI79" s="192"/>
      <c r="AJ79" s="192">
        <v>10</v>
      </c>
      <c r="AK79" s="467"/>
      <c r="AL79" s="192">
        <v>10</v>
      </c>
      <c r="AM79" s="192"/>
      <c r="AN79" s="192">
        <v>10</v>
      </c>
      <c r="AO79" s="192"/>
      <c r="AP79" s="192">
        <v>10</v>
      </c>
      <c r="AQ79" s="192"/>
      <c r="AR79" s="192">
        <v>10</v>
      </c>
      <c r="AS79" s="467"/>
      <c r="AT79" s="192">
        <v>10</v>
      </c>
      <c r="AU79" s="192"/>
      <c r="AV79" s="192">
        <v>10</v>
      </c>
      <c r="AW79" s="498">
        <v>9.1</v>
      </c>
      <c r="AX79" s="192">
        <v>10</v>
      </c>
      <c r="AY79" s="498">
        <v>20</v>
      </c>
      <c r="AZ79" s="192">
        <v>10</v>
      </c>
      <c r="BA79" s="192"/>
      <c r="BB79" s="192">
        <f>10-30</f>
        <v>-20</v>
      </c>
      <c r="BC79" s="498">
        <v>39</v>
      </c>
      <c r="BD79" s="509">
        <v>10</v>
      </c>
      <c r="BE79" s="526"/>
      <c r="BF79" s="518">
        <f t="shared" si="14"/>
        <v>90</v>
      </c>
      <c r="BG79" s="123"/>
      <c r="BH79" s="287"/>
      <c r="BI79" s="123"/>
      <c r="BJ79" s="123"/>
      <c r="BK79" s="123"/>
      <c r="BL79" s="123"/>
      <c r="BM79" s="123"/>
      <c r="BN79" s="123"/>
      <c r="BO79" s="123"/>
      <c r="BP79" s="123"/>
    </row>
    <row r="80" spans="1:68" ht="41.25" customHeight="1">
      <c r="A80" s="727"/>
      <c r="B80" s="630"/>
      <c r="C80" s="214" t="s">
        <v>186</v>
      </c>
      <c r="D80" s="35"/>
      <c r="E80" s="718"/>
      <c r="F80" s="55" t="s">
        <v>339</v>
      </c>
      <c r="G80" s="77" t="s">
        <v>204</v>
      </c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81" t="s">
        <v>53</v>
      </c>
      <c r="U80" s="178" t="s">
        <v>61</v>
      </c>
      <c r="V80" s="147" t="s">
        <v>72</v>
      </c>
      <c r="W80" s="179">
        <v>840107</v>
      </c>
      <c r="X80" s="80" t="s">
        <v>73</v>
      </c>
      <c r="Y80" s="191">
        <v>0</v>
      </c>
      <c r="Z80" s="191"/>
      <c r="AA80" s="256">
        <f t="shared" ref="AA80:AA86" si="15">SUM(Y80-Z80)</f>
        <v>0</v>
      </c>
      <c r="AB80" s="207">
        <f t="shared" ref="AB80:AB86" si="16">SUM(AI80,AK80,AM80,AO80)</f>
        <v>0</v>
      </c>
      <c r="AC80" s="207">
        <f t="shared" ref="AC80:AC100" si="17">SUM(AQ80,AS80,AU80,AW80)</f>
        <v>0</v>
      </c>
      <c r="AD80" s="207">
        <f t="shared" ref="AD80:AD100" si="18">SUM(AY80,BA80,BC80,BE80)</f>
        <v>0</v>
      </c>
      <c r="AE80" s="207">
        <f t="shared" ref="AE80:AE99" si="19">SUM(AI80,AK80,AM80,AO80,AQ80,AS80,AU80,AW80,AY80,BA80,BC80,BE80)</f>
        <v>0</v>
      </c>
      <c r="AF80" s="207" t="str">
        <f t="shared" ref="AF80:AF100" si="20">IF(Y80=0,("Sin recurso"),(AE80/Y80))</f>
        <v>Sin recurso</v>
      </c>
      <c r="AG80" s="207">
        <f t="shared" si="13"/>
        <v>0</v>
      </c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509"/>
      <c r="BE80" s="526"/>
      <c r="BF80" s="516">
        <f t="shared" si="14"/>
        <v>0</v>
      </c>
      <c r="BG80" s="123"/>
      <c r="BH80" s="287"/>
      <c r="BI80" s="123"/>
      <c r="BJ80" s="123"/>
      <c r="BK80" s="123"/>
      <c r="BL80" s="123"/>
      <c r="BM80" s="123"/>
      <c r="BN80" s="123"/>
      <c r="BO80" s="123"/>
      <c r="BP80" s="123"/>
    </row>
    <row r="81" spans="1:68" ht="41.25" customHeight="1">
      <c r="A81" s="727"/>
      <c r="B81" s="630"/>
      <c r="C81" s="35" t="s">
        <v>186</v>
      </c>
      <c r="D81" s="35"/>
      <c r="E81" s="718"/>
      <c r="F81" s="55" t="s">
        <v>340</v>
      </c>
      <c r="G81" s="77" t="s">
        <v>207</v>
      </c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77" t="s">
        <v>53</v>
      </c>
      <c r="U81" s="178" t="s">
        <v>58</v>
      </c>
      <c r="V81" s="147" t="s">
        <v>59</v>
      </c>
      <c r="W81" s="179">
        <v>531407</v>
      </c>
      <c r="X81" s="80" t="s">
        <v>175</v>
      </c>
      <c r="Y81" s="191">
        <v>0</v>
      </c>
      <c r="Z81" s="191">
        <f>232.28-34-51</f>
        <v>147.28</v>
      </c>
      <c r="AA81" s="256">
        <f>SUM(Y81+Z81)</f>
        <v>147.28</v>
      </c>
      <c r="AB81" s="207">
        <f t="shared" si="16"/>
        <v>0</v>
      </c>
      <c r="AC81" s="207">
        <f t="shared" si="17"/>
        <v>0</v>
      </c>
      <c r="AD81" s="207">
        <f t="shared" si="18"/>
        <v>147.28</v>
      </c>
      <c r="AE81" s="207">
        <f t="shared" si="19"/>
        <v>147.28</v>
      </c>
      <c r="AF81" s="207" t="str">
        <f t="shared" si="20"/>
        <v>Sin recurso</v>
      </c>
      <c r="AG81" s="207">
        <f t="shared" si="13"/>
        <v>0</v>
      </c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>
        <v>232.28</v>
      </c>
      <c r="BC81" s="192">
        <v>147.28</v>
      </c>
      <c r="BD81" s="509">
        <f>-34-51</f>
        <v>-85</v>
      </c>
      <c r="BE81" s="526"/>
      <c r="BF81" s="516">
        <f t="shared" si="14"/>
        <v>147.28</v>
      </c>
      <c r="BG81" s="123"/>
      <c r="BH81" s="287"/>
      <c r="BI81" s="123"/>
      <c r="BJ81" s="123"/>
      <c r="BK81" s="123"/>
      <c r="BL81" s="123"/>
      <c r="BM81" s="123"/>
      <c r="BN81" s="123"/>
      <c r="BO81" s="123"/>
      <c r="BP81" s="123"/>
    </row>
    <row r="82" spans="1:68" ht="41.25" customHeight="1">
      <c r="A82" s="727"/>
      <c r="B82" s="630"/>
      <c r="C82" s="35" t="s">
        <v>185</v>
      </c>
      <c r="D82" s="35"/>
      <c r="E82" s="718"/>
      <c r="F82" s="55" t="s">
        <v>341</v>
      </c>
      <c r="G82" s="77" t="s">
        <v>207</v>
      </c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77" t="s">
        <v>53</v>
      </c>
      <c r="U82" s="178" t="s">
        <v>58</v>
      </c>
      <c r="V82" s="147" t="s">
        <v>59</v>
      </c>
      <c r="W82" s="179">
        <v>531404</v>
      </c>
      <c r="X82" s="80" t="s">
        <v>176</v>
      </c>
      <c r="Y82" s="191">
        <v>0</v>
      </c>
      <c r="Z82" s="191"/>
      <c r="AA82" s="256">
        <f t="shared" si="15"/>
        <v>0</v>
      </c>
      <c r="AB82" s="207">
        <f t="shared" si="16"/>
        <v>0</v>
      </c>
      <c r="AC82" s="207">
        <f t="shared" si="17"/>
        <v>0</v>
      </c>
      <c r="AD82" s="207">
        <f t="shared" si="18"/>
        <v>0</v>
      </c>
      <c r="AE82" s="207">
        <f t="shared" si="19"/>
        <v>0</v>
      </c>
      <c r="AF82" s="207" t="str">
        <f t="shared" si="20"/>
        <v>Sin recurso</v>
      </c>
      <c r="AG82" s="207">
        <f t="shared" si="13"/>
        <v>0</v>
      </c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509"/>
      <c r="BE82" s="526"/>
      <c r="BF82" s="516">
        <f t="shared" si="14"/>
        <v>0</v>
      </c>
      <c r="BG82" s="123"/>
      <c r="BH82" s="287"/>
      <c r="BI82" s="123"/>
      <c r="BJ82" s="123"/>
      <c r="BK82" s="123"/>
      <c r="BL82" s="123"/>
      <c r="BM82" s="123"/>
      <c r="BN82" s="123"/>
      <c r="BO82" s="123"/>
      <c r="BP82" s="123"/>
    </row>
    <row r="83" spans="1:68" ht="34.5" customHeight="1">
      <c r="A83" s="727"/>
      <c r="B83" s="630"/>
      <c r="C83" s="630" t="s">
        <v>187</v>
      </c>
      <c r="D83" s="630"/>
      <c r="E83" s="718" t="s">
        <v>189</v>
      </c>
      <c r="F83" s="694" t="s">
        <v>342</v>
      </c>
      <c r="G83" s="709" t="s">
        <v>208</v>
      </c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615"/>
      <c r="S83" s="615"/>
      <c r="T83" s="654" t="s">
        <v>53</v>
      </c>
      <c r="U83" s="656" t="s">
        <v>127</v>
      </c>
      <c r="V83" s="692" t="s">
        <v>51</v>
      </c>
      <c r="W83" s="39">
        <v>530603</v>
      </c>
      <c r="X83" s="83" t="s">
        <v>54</v>
      </c>
      <c r="Y83" s="191">
        <v>0</v>
      </c>
      <c r="Z83" s="191"/>
      <c r="AA83" s="256">
        <f t="shared" si="15"/>
        <v>0</v>
      </c>
      <c r="AB83" s="207">
        <f t="shared" si="16"/>
        <v>0</v>
      </c>
      <c r="AC83" s="207">
        <f t="shared" si="17"/>
        <v>0</v>
      </c>
      <c r="AD83" s="207">
        <f t="shared" si="18"/>
        <v>0</v>
      </c>
      <c r="AE83" s="207">
        <f t="shared" si="19"/>
        <v>0</v>
      </c>
      <c r="AF83" s="207" t="str">
        <f t="shared" si="20"/>
        <v>Sin recurso</v>
      </c>
      <c r="AG83" s="207">
        <f t="shared" si="13"/>
        <v>0</v>
      </c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509"/>
      <c r="BE83" s="526"/>
      <c r="BF83" s="516">
        <f t="shared" si="14"/>
        <v>0</v>
      </c>
      <c r="BG83" s="123"/>
      <c r="BH83" s="287"/>
      <c r="BI83" s="123"/>
      <c r="BJ83" s="123"/>
      <c r="BK83" s="123"/>
      <c r="BL83" s="123"/>
      <c r="BM83" s="123"/>
      <c r="BN83" s="123"/>
      <c r="BO83" s="123"/>
      <c r="BP83" s="123"/>
    </row>
    <row r="84" spans="1:68" ht="52.5" customHeight="1">
      <c r="A84" s="727"/>
      <c r="B84" s="630"/>
      <c r="C84" s="630"/>
      <c r="D84" s="630"/>
      <c r="E84" s="718"/>
      <c r="F84" s="695"/>
      <c r="G84" s="710"/>
      <c r="H84" s="620"/>
      <c r="I84" s="620"/>
      <c r="J84" s="620"/>
      <c r="K84" s="620"/>
      <c r="L84" s="620"/>
      <c r="M84" s="620"/>
      <c r="N84" s="620"/>
      <c r="O84" s="620"/>
      <c r="P84" s="620"/>
      <c r="Q84" s="620"/>
      <c r="R84" s="620"/>
      <c r="S84" s="620"/>
      <c r="T84" s="655"/>
      <c r="U84" s="656"/>
      <c r="V84" s="692"/>
      <c r="W84" s="50">
        <v>530803</v>
      </c>
      <c r="X84" s="80" t="s">
        <v>192</v>
      </c>
      <c r="Y84" s="191">
        <v>0</v>
      </c>
      <c r="Z84" s="191"/>
      <c r="AA84" s="256">
        <f t="shared" si="15"/>
        <v>0</v>
      </c>
      <c r="AB84" s="207">
        <f t="shared" si="16"/>
        <v>0</v>
      </c>
      <c r="AC84" s="207">
        <f t="shared" si="17"/>
        <v>0</v>
      </c>
      <c r="AD84" s="207">
        <f t="shared" si="18"/>
        <v>0</v>
      </c>
      <c r="AE84" s="207">
        <f t="shared" si="19"/>
        <v>0</v>
      </c>
      <c r="AF84" s="207" t="str">
        <f t="shared" si="20"/>
        <v>Sin recurso</v>
      </c>
      <c r="AG84" s="207">
        <f t="shared" si="13"/>
        <v>0</v>
      </c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509"/>
      <c r="BE84" s="526"/>
      <c r="BF84" s="516">
        <f t="shared" si="14"/>
        <v>0</v>
      </c>
      <c r="BG84" s="123"/>
      <c r="BH84" s="287"/>
      <c r="BI84" s="123"/>
      <c r="BJ84" s="123"/>
      <c r="BK84" s="123"/>
      <c r="BL84" s="123"/>
      <c r="BM84" s="123"/>
      <c r="BN84" s="123"/>
      <c r="BO84" s="123"/>
      <c r="BP84" s="123"/>
    </row>
    <row r="85" spans="1:68" ht="32.25" customHeight="1">
      <c r="A85" s="727"/>
      <c r="B85" s="630"/>
      <c r="C85" s="630"/>
      <c r="D85" s="630"/>
      <c r="E85" s="718"/>
      <c r="F85" s="695"/>
      <c r="G85" s="711"/>
      <c r="H85" s="616"/>
      <c r="I85" s="616"/>
      <c r="J85" s="616"/>
      <c r="K85" s="616"/>
      <c r="L85" s="616"/>
      <c r="M85" s="616"/>
      <c r="N85" s="616"/>
      <c r="O85" s="616"/>
      <c r="P85" s="616"/>
      <c r="Q85" s="616"/>
      <c r="R85" s="616"/>
      <c r="S85" s="616"/>
      <c r="T85" s="655"/>
      <c r="U85" s="656"/>
      <c r="V85" s="692"/>
      <c r="W85" s="33">
        <v>530301</v>
      </c>
      <c r="X85" s="80" t="s">
        <v>42</v>
      </c>
      <c r="Y85" s="191">
        <v>0</v>
      </c>
      <c r="Z85" s="191"/>
      <c r="AA85" s="256">
        <f t="shared" si="15"/>
        <v>0</v>
      </c>
      <c r="AB85" s="207">
        <f t="shared" si="16"/>
        <v>0</v>
      </c>
      <c r="AC85" s="207">
        <f t="shared" si="17"/>
        <v>0</v>
      </c>
      <c r="AD85" s="207">
        <f t="shared" si="18"/>
        <v>0</v>
      </c>
      <c r="AE85" s="207">
        <f t="shared" si="19"/>
        <v>0</v>
      </c>
      <c r="AF85" s="207" t="str">
        <f t="shared" si="20"/>
        <v>Sin recurso</v>
      </c>
      <c r="AG85" s="207">
        <f t="shared" si="13"/>
        <v>0</v>
      </c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509"/>
      <c r="BE85" s="526"/>
      <c r="BF85" s="516">
        <f t="shared" si="14"/>
        <v>0</v>
      </c>
      <c r="BG85" s="123"/>
      <c r="BH85" s="287"/>
      <c r="BI85" s="123"/>
      <c r="BJ85" s="123"/>
      <c r="BK85" s="123"/>
      <c r="BL85" s="123"/>
      <c r="BM85" s="123"/>
      <c r="BN85" s="123"/>
      <c r="BO85" s="123"/>
      <c r="BP85" s="123"/>
    </row>
    <row r="86" spans="1:68" ht="39.75" customHeight="1">
      <c r="A86" s="727"/>
      <c r="B86" s="630"/>
      <c r="C86" s="35" t="s">
        <v>187</v>
      </c>
      <c r="D86" s="35"/>
      <c r="E86" s="718"/>
      <c r="F86" s="420" t="s">
        <v>343</v>
      </c>
      <c r="G86" s="453" t="s">
        <v>211</v>
      </c>
      <c r="H86" s="168"/>
      <c r="I86" s="168">
        <v>1</v>
      </c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50" t="s">
        <v>55</v>
      </c>
      <c r="U86" s="132" t="s">
        <v>127</v>
      </c>
      <c r="V86" s="131" t="s">
        <v>51</v>
      </c>
      <c r="W86" s="32" t="s">
        <v>56</v>
      </c>
      <c r="X86" s="142" t="s">
        <v>57</v>
      </c>
      <c r="Y86" s="191">
        <v>0</v>
      </c>
      <c r="Z86" s="191"/>
      <c r="AA86" s="256">
        <f t="shared" si="15"/>
        <v>0</v>
      </c>
      <c r="AB86" s="207">
        <f t="shared" si="16"/>
        <v>0</v>
      </c>
      <c r="AC86" s="207">
        <f t="shared" si="17"/>
        <v>0</v>
      </c>
      <c r="AD86" s="207">
        <f t="shared" si="18"/>
        <v>0</v>
      </c>
      <c r="AE86" s="207">
        <f t="shared" si="19"/>
        <v>0</v>
      </c>
      <c r="AF86" s="207" t="str">
        <f t="shared" si="20"/>
        <v>Sin recurso</v>
      </c>
      <c r="AG86" s="207">
        <f t="shared" si="13"/>
        <v>0</v>
      </c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509"/>
      <c r="BE86" s="526"/>
      <c r="BF86" s="516">
        <f t="shared" si="14"/>
        <v>0</v>
      </c>
      <c r="BG86" s="123"/>
      <c r="BH86" s="287"/>
      <c r="BI86" s="123"/>
      <c r="BJ86" s="123"/>
      <c r="BK86" s="123"/>
      <c r="BL86" s="123"/>
      <c r="BM86" s="123"/>
      <c r="BN86" s="123"/>
      <c r="BO86" s="123"/>
      <c r="BP86" s="123"/>
    </row>
    <row r="87" spans="1:68" ht="20.25" customHeight="1">
      <c r="A87" s="727"/>
      <c r="B87" s="630"/>
      <c r="C87" s="630" t="s">
        <v>187</v>
      </c>
      <c r="D87" s="630"/>
      <c r="E87" s="718"/>
      <c r="F87" s="730" t="s">
        <v>344</v>
      </c>
      <c r="G87" s="723" t="s">
        <v>74</v>
      </c>
      <c r="H87" s="168">
        <v>1</v>
      </c>
      <c r="I87" s="168">
        <v>1</v>
      </c>
      <c r="J87" s="168">
        <v>1</v>
      </c>
      <c r="K87" s="168">
        <v>1</v>
      </c>
      <c r="L87" s="168">
        <v>1</v>
      </c>
      <c r="M87" s="168">
        <v>1</v>
      </c>
      <c r="N87" s="168">
        <v>1</v>
      </c>
      <c r="O87" s="168">
        <v>1</v>
      </c>
      <c r="P87" s="168">
        <v>1</v>
      </c>
      <c r="Q87" s="168">
        <v>1</v>
      </c>
      <c r="R87" s="168">
        <v>1</v>
      </c>
      <c r="S87" s="168">
        <v>1</v>
      </c>
      <c r="T87" s="669" t="s">
        <v>53</v>
      </c>
      <c r="U87" s="666" t="s">
        <v>75</v>
      </c>
      <c r="V87" s="673" t="s">
        <v>76</v>
      </c>
      <c r="W87" s="40">
        <v>510105</v>
      </c>
      <c r="X87" s="144" t="s">
        <v>77</v>
      </c>
      <c r="Y87" s="256">
        <v>845820</v>
      </c>
      <c r="Z87" s="332">
        <f>-5000 - 52894-6087-7155.06</f>
        <v>-71136.06</v>
      </c>
      <c r="AA87" s="474">
        <f>SUM(Y87+Z87)</f>
        <v>774683.94</v>
      </c>
      <c r="AB87" s="207">
        <f t="shared" ref="AB87:AB100" si="21">SUM(AI87,AK87,AM87,AO87)</f>
        <v>274724.66000000003</v>
      </c>
      <c r="AC87" s="207">
        <f t="shared" si="17"/>
        <v>252893.21999999997</v>
      </c>
      <c r="AD87" s="207">
        <f t="shared" si="18"/>
        <v>247066.06</v>
      </c>
      <c r="AE87" s="207">
        <f t="shared" si="19"/>
        <v>774683.94</v>
      </c>
      <c r="AF87" s="207">
        <f t="shared" si="20"/>
        <v>0.91589692842448744</v>
      </c>
      <c r="AG87" s="207">
        <f t="shared" si="13"/>
        <v>0</v>
      </c>
      <c r="AH87" s="468">
        <f>70485-5000</f>
        <v>65485</v>
      </c>
      <c r="AI87" s="257">
        <v>68372.73</v>
      </c>
      <c r="AJ87" s="468">
        <v>70485</v>
      </c>
      <c r="AK87" s="257">
        <v>67601.33</v>
      </c>
      <c r="AL87" s="468">
        <v>70485</v>
      </c>
      <c r="AM87" s="257">
        <v>67056.2</v>
      </c>
      <c r="AN87" s="468">
        <v>70485</v>
      </c>
      <c r="AO87" s="257">
        <v>71694.399999999994</v>
      </c>
      <c r="AP87" s="468">
        <v>70485</v>
      </c>
      <c r="AQ87" s="257">
        <v>70485</v>
      </c>
      <c r="AR87" s="468">
        <v>70485</v>
      </c>
      <c r="AS87" s="257">
        <v>60870.11</v>
      </c>
      <c r="AT87" s="468">
        <f>70485-8815.66666666666</f>
        <v>61669.333333333343</v>
      </c>
      <c r="AU87" s="257">
        <v>58669.55</v>
      </c>
      <c r="AV87" s="468">
        <f>70485-8815.66666666666</f>
        <v>61669.333333333343</v>
      </c>
      <c r="AW87" s="257">
        <v>62868.56</v>
      </c>
      <c r="AX87" s="468">
        <f>70485-8815.66666666666</f>
        <v>61669.333333333343</v>
      </c>
      <c r="AY87" s="257">
        <v>60749.1</v>
      </c>
      <c r="AZ87" s="468">
        <f>70485-8815.66666666666</f>
        <v>61669.333333333343</v>
      </c>
      <c r="BA87" s="331">
        <v>59509.95</v>
      </c>
      <c r="BB87" s="468">
        <f>70485-8815.66666666666</f>
        <v>61669.333333333343</v>
      </c>
      <c r="BC87" s="257">
        <v>59808.14</v>
      </c>
      <c r="BD87" s="468">
        <f>70485-8815.66666666666-6087-7155.06</f>
        <v>48427.273333333345</v>
      </c>
      <c r="BE87" s="527">
        <v>66998.87</v>
      </c>
      <c r="BF87" s="518">
        <f t="shared" si="14"/>
        <v>774683.94000000018</v>
      </c>
      <c r="BG87" s="287"/>
      <c r="BH87" s="287"/>
      <c r="BI87" s="98"/>
      <c r="BJ87" s="123"/>
      <c r="BK87" s="123"/>
      <c r="BL87" s="123"/>
      <c r="BM87" s="123"/>
      <c r="BN87" s="123"/>
      <c r="BO87" s="123"/>
      <c r="BP87" s="123"/>
    </row>
    <row r="88" spans="1:68" ht="20.25" customHeight="1">
      <c r="A88" s="727"/>
      <c r="B88" s="630"/>
      <c r="C88" s="630"/>
      <c r="D88" s="630"/>
      <c r="E88" s="718"/>
      <c r="F88" s="730"/>
      <c r="G88" s="724"/>
      <c r="H88" s="168">
        <v>1</v>
      </c>
      <c r="I88" s="168">
        <v>1</v>
      </c>
      <c r="J88" s="168">
        <v>1</v>
      </c>
      <c r="K88" s="168">
        <v>1</v>
      </c>
      <c r="L88" s="168">
        <v>1</v>
      </c>
      <c r="M88" s="168">
        <v>1</v>
      </c>
      <c r="N88" s="168">
        <v>1</v>
      </c>
      <c r="O88" s="168">
        <v>1</v>
      </c>
      <c r="P88" s="168">
        <v>1</v>
      </c>
      <c r="Q88" s="168">
        <v>1</v>
      </c>
      <c r="R88" s="168">
        <v>1</v>
      </c>
      <c r="S88" s="168">
        <v>1</v>
      </c>
      <c r="T88" s="670"/>
      <c r="U88" s="667"/>
      <c r="V88" s="674"/>
      <c r="W88" s="40">
        <v>510106</v>
      </c>
      <c r="X88" s="144" t="s">
        <v>78</v>
      </c>
      <c r="Y88" s="207">
        <v>46272</v>
      </c>
      <c r="Z88" s="207"/>
      <c r="AA88" s="474">
        <f>SUM(Y88-Z88)</f>
        <v>46272</v>
      </c>
      <c r="AB88" s="207">
        <f t="shared" si="21"/>
        <v>15424</v>
      </c>
      <c r="AC88" s="207">
        <f t="shared" si="17"/>
        <v>15424</v>
      </c>
      <c r="AD88" s="207">
        <f t="shared" si="18"/>
        <v>15424</v>
      </c>
      <c r="AE88" s="207">
        <f t="shared" si="19"/>
        <v>46272</v>
      </c>
      <c r="AF88" s="207">
        <f t="shared" si="20"/>
        <v>1</v>
      </c>
      <c r="AG88" s="207">
        <f t="shared" si="13"/>
        <v>0</v>
      </c>
      <c r="AH88" s="468">
        <v>3856</v>
      </c>
      <c r="AI88" s="257">
        <v>3856</v>
      </c>
      <c r="AJ88" s="257">
        <v>3856</v>
      </c>
      <c r="AK88" s="257">
        <v>3856</v>
      </c>
      <c r="AL88" s="257">
        <v>3856</v>
      </c>
      <c r="AM88" s="257">
        <v>3856</v>
      </c>
      <c r="AN88" s="257">
        <v>3856</v>
      </c>
      <c r="AO88" s="257">
        <v>3856</v>
      </c>
      <c r="AP88" s="257">
        <v>3856</v>
      </c>
      <c r="AQ88" s="257">
        <v>3856</v>
      </c>
      <c r="AR88" s="257">
        <v>3856</v>
      </c>
      <c r="AS88" s="257">
        <v>3856</v>
      </c>
      <c r="AT88" s="257">
        <v>3856</v>
      </c>
      <c r="AU88" s="257">
        <v>3856</v>
      </c>
      <c r="AV88" s="257">
        <v>3856</v>
      </c>
      <c r="AW88" s="257">
        <v>3856</v>
      </c>
      <c r="AX88" s="257">
        <v>3856</v>
      </c>
      <c r="AY88" s="257">
        <v>3856</v>
      </c>
      <c r="AZ88" s="257">
        <v>3856</v>
      </c>
      <c r="BA88" s="257">
        <v>3856</v>
      </c>
      <c r="BB88" s="257">
        <v>3856</v>
      </c>
      <c r="BC88" s="257">
        <v>3856</v>
      </c>
      <c r="BD88" s="510">
        <v>3856</v>
      </c>
      <c r="BE88" s="527">
        <v>3856</v>
      </c>
      <c r="BF88" s="518">
        <f t="shared" si="14"/>
        <v>46272</v>
      </c>
      <c r="BG88" s="287"/>
      <c r="BH88" s="287"/>
      <c r="BI88" s="123"/>
      <c r="BJ88" s="123"/>
      <c r="BK88" s="123"/>
      <c r="BL88" s="123"/>
      <c r="BM88" s="123"/>
      <c r="BN88" s="123"/>
      <c r="BO88" s="123"/>
      <c r="BP88" s="123"/>
    </row>
    <row r="89" spans="1:68" ht="15">
      <c r="A89" s="727"/>
      <c r="B89" s="630"/>
      <c r="C89" s="630"/>
      <c r="D89" s="630"/>
      <c r="E89" s="718"/>
      <c r="F89" s="730"/>
      <c r="G89" s="724"/>
      <c r="H89" s="168">
        <v>1</v>
      </c>
      <c r="I89" s="168">
        <v>1</v>
      </c>
      <c r="J89" s="168">
        <v>1</v>
      </c>
      <c r="K89" s="168">
        <v>1</v>
      </c>
      <c r="L89" s="168">
        <v>1</v>
      </c>
      <c r="M89" s="168">
        <v>1</v>
      </c>
      <c r="N89" s="168">
        <v>1</v>
      </c>
      <c r="O89" s="168">
        <v>1</v>
      </c>
      <c r="P89" s="168">
        <v>1</v>
      </c>
      <c r="Q89" s="168">
        <v>1</v>
      </c>
      <c r="R89" s="168">
        <v>1</v>
      </c>
      <c r="S89" s="168">
        <v>1</v>
      </c>
      <c r="T89" s="670"/>
      <c r="U89" s="667"/>
      <c r="V89" s="674"/>
      <c r="W89" s="40">
        <v>510203</v>
      </c>
      <c r="X89" s="144" t="s">
        <v>79</v>
      </c>
      <c r="Y89" s="207">
        <v>76079</v>
      </c>
      <c r="Z89" s="332">
        <f>-3731.19</f>
        <v>-3731.19</v>
      </c>
      <c r="AA89" s="474">
        <f>SUM(Y89+Z89)</f>
        <v>72347.81</v>
      </c>
      <c r="AB89" s="207">
        <f t="shared" si="21"/>
        <v>16409.89</v>
      </c>
      <c r="AC89" s="207">
        <f t="shared" si="17"/>
        <v>17260.18</v>
      </c>
      <c r="AD89" s="207">
        <f t="shared" si="18"/>
        <v>38677.740000000005</v>
      </c>
      <c r="AE89" s="207">
        <f t="shared" si="19"/>
        <v>72347.81</v>
      </c>
      <c r="AF89" s="207">
        <f t="shared" si="20"/>
        <v>0.95095637429514057</v>
      </c>
      <c r="AG89" s="207">
        <f t="shared" si="13"/>
        <v>0</v>
      </c>
      <c r="AH89" s="468">
        <v>6339.9166666666597</v>
      </c>
      <c r="AI89" s="257">
        <v>3410.01</v>
      </c>
      <c r="AJ89" s="468">
        <v>6339.9166666666597</v>
      </c>
      <c r="AK89" s="257">
        <v>4158.24</v>
      </c>
      <c r="AL89" s="468">
        <v>6339.9166666666597</v>
      </c>
      <c r="AM89" s="257">
        <v>3974.99</v>
      </c>
      <c r="AN89" s="468">
        <v>6339.9166666666597</v>
      </c>
      <c r="AO89" s="257">
        <v>4866.6499999999996</v>
      </c>
      <c r="AP89" s="468">
        <v>6339.9166666666597</v>
      </c>
      <c r="AQ89" s="257">
        <v>4260.72</v>
      </c>
      <c r="AR89" s="468">
        <v>6339.9166666666597</v>
      </c>
      <c r="AS89" s="257">
        <v>4260.72</v>
      </c>
      <c r="AT89" s="468">
        <v>6339.9166666666597</v>
      </c>
      <c r="AU89" s="257">
        <v>4259.3500000000004</v>
      </c>
      <c r="AV89" s="468">
        <v>6339.9166666666597</v>
      </c>
      <c r="AW89" s="257">
        <v>4479.3900000000003</v>
      </c>
      <c r="AX89" s="468">
        <v>6339.9166666666597</v>
      </c>
      <c r="AY89" s="257">
        <v>4467.3</v>
      </c>
      <c r="AZ89" s="468">
        <v>6339.9166666666597</v>
      </c>
      <c r="BA89" s="331">
        <v>4343.3900000000003</v>
      </c>
      <c r="BB89" s="468">
        <v>6339.9166666666597</v>
      </c>
      <c r="BC89" s="257">
        <v>4373.21</v>
      </c>
      <c r="BD89" s="511">
        <f>6339.91666666666-3731.19</f>
        <v>2608.7266666666596</v>
      </c>
      <c r="BE89" s="527">
        <v>25493.84</v>
      </c>
      <c r="BF89" s="518">
        <f t="shared" si="14"/>
        <v>72347.809999999896</v>
      </c>
      <c r="BG89" s="123"/>
      <c r="BH89" s="287"/>
      <c r="BI89" s="98"/>
      <c r="BJ89" s="123"/>
      <c r="BK89" s="123"/>
      <c r="BL89" s="123"/>
      <c r="BM89" s="123"/>
      <c r="BN89" s="123"/>
      <c r="BO89" s="123"/>
      <c r="BP89" s="123"/>
    </row>
    <row r="90" spans="1:68" ht="15">
      <c r="A90" s="727"/>
      <c r="B90" s="630"/>
      <c r="C90" s="630"/>
      <c r="D90" s="630"/>
      <c r="E90" s="718"/>
      <c r="F90" s="730"/>
      <c r="G90" s="724"/>
      <c r="H90" s="168">
        <v>1</v>
      </c>
      <c r="I90" s="168">
        <v>1</v>
      </c>
      <c r="J90" s="168">
        <v>1</v>
      </c>
      <c r="K90" s="168">
        <v>1</v>
      </c>
      <c r="L90" s="168">
        <v>1</v>
      </c>
      <c r="M90" s="168">
        <v>1</v>
      </c>
      <c r="N90" s="168">
        <v>1</v>
      </c>
      <c r="O90" s="168">
        <v>1</v>
      </c>
      <c r="P90" s="168">
        <v>1</v>
      </c>
      <c r="Q90" s="168">
        <v>1</v>
      </c>
      <c r="R90" s="168">
        <v>1</v>
      </c>
      <c r="S90" s="168">
        <v>1</v>
      </c>
      <c r="T90" s="670"/>
      <c r="U90" s="667"/>
      <c r="V90" s="674"/>
      <c r="W90" s="40">
        <v>510204</v>
      </c>
      <c r="X90" s="144" t="s">
        <v>80</v>
      </c>
      <c r="Y90" s="207">
        <v>31520</v>
      </c>
      <c r="Z90" s="332">
        <f>1180.4-2065.41</f>
        <v>-885.00999999999976</v>
      </c>
      <c r="AA90" s="474">
        <f>SUM(Y90+Z90)</f>
        <v>30634.99</v>
      </c>
      <c r="AB90" s="207">
        <f t="shared" si="21"/>
        <v>9367.32</v>
      </c>
      <c r="AC90" s="207">
        <f t="shared" si="17"/>
        <v>14636.1</v>
      </c>
      <c r="AD90" s="207">
        <f t="shared" si="18"/>
        <v>6631.57</v>
      </c>
      <c r="AE90" s="207">
        <f t="shared" si="19"/>
        <v>30634.989999999998</v>
      </c>
      <c r="AF90" s="207">
        <f t="shared" si="20"/>
        <v>0.971922271573604</v>
      </c>
      <c r="AG90" s="207">
        <f t="shared" si="13"/>
        <v>3.637978807091713E-12</v>
      </c>
      <c r="AH90" s="468">
        <v>2626.6666666666601</v>
      </c>
      <c r="AI90" s="257">
        <v>1312.15</v>
      </c>
      <c r="AJ90" s="468">
        <v>2626.6666666666601</v>
      </c>
      <c r="AK90" s="257">
        <v>2594.31</v>
      </c>
      <c r="AL90" s="468">
        <v>2626.6666666666601</v>
      </c>
      <c r="AM90" s="257">
        <v>3244.36</v>
      </c>
      <c r="AN90" s="468">
        <v>2626.6666666666601</v>
      </c>
      <c r="AO90" s="257">
        <v>2216.5</v>
      </c>
      <c r="AP90" s="468">
        <v>2626.6666666666601</v>
      </c>
      <c r="AQ90" s="257">
        <v>1633.17</v>
      </c>
      <c r="AR90" s="468">
        <v>2626.6666666666601</v>
      </c>
      <c r="AS90" s="257">
        <v>1633.17</v>
      </c>
      <c r="AT90" s="468">
        <f>2626.66666666666+196.733333333333</f>
        <v>2823.3999999999933</v>
      </c>
      <c r="AU90" s="257">
        <v>1626.52</v>
      </c>
      <c r="AV90" s="468">
        <f>2626.66666666666+196.733333333333</f>
        <v>2823.3999999999933</v>
      </c>
      <c r="AW90" s="257">
        <v>9743.24</v>
      </c>
      <c r="AX90" s="468">
        <f>2626.66666666666+196.733333333333</f>
        <v>2823.3999999999933</v>
      </c>
      <c r="AY90" s="257">
        <v>1692.06</v>
      </c>
      <c r="AZ90" s="468">
        <f>2626.66666666666+196.733333333333</f>
        <v>2823.3999999999933</v>
      </c>
      <c r="BA90" s="331">
        <v>1638.73</v>
      </c>
      <c r="BB90" s="468">
        <f>2626.66666666666+196.733333333333</f>
        <v>2823.3999999999933</v>
      </c>
      <c r="BC90" s="257">
        <v>1663.17</v>
      </c>
      <c r="BD90" s="511">
        <f>2626.66666666666+196.733333333333-2065.41</f>
        <v>757.98999999999342</v>
      </c>
      <c r="BE90" s="527">
        <v>1637.61</v>
      </c>
      <c r="BF90" s="518">
        <f t="shared" si="14"/>
        <v>30634.989999999925</v>
      </c>
      <c r="BG90" s="123"/>
      <c r="BH90" s="287"/>
      <c r="BI90" s="123"/>
      <c r="BJ90" s="123"/>
      <c r="BK90" s="123"/>
      <c r="BL90" s="123"/>
      <c r="BM90" s="123"/>
      <c r="BN90" s="123"/>
      <c r="BO90" s="123"/>
      <c r="BP90" s="123"/>
    </row>
    <row r="91" spans="1:68" ht="27" customHeight="1">
      <c r="A91" s="727"/>
      <c r="B91" s="630"/>
      <c r="C91" s="630"/>
      <c r="D91" s="630"/>
      <c r="E91" s="718"/>
      <c r="F91" s="730"/>
      <c r="G91" s="724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670"/>
      <c r="U91" s="667"/>
      <c r="V91" s="674"/>
      <c r="W91" s="40">
        <v>510507</v>
      </c>
      <c r="X91" s="144" t="s">
        <v>81</v>
      </c>
      <c r="Y91" s="191">
        <v>0</v>
      </c>
      <c r="Z91" s="191"/>
      <c r="AA91" s="256">
        <f>SUM(Y91-Z91)</f>
        <v>0</v>
      </c>
      <c r="AB91" s="207">
        <f t="shared" si="21"/>
        <v>0</v>
      </c>
      <c r="AC91" s="207">
        <f t="shared" si="17"/>
        <v>0</v>
      </c>
      <c r="AD91" s="207">
        <f t="shared" si="18"/>
        <v>0</v>
      </c>
      <c r="AE91" s="207">
        <f t="shared" si="19"/>
        <v>0</v>
      </c>
      <c r="AF91" s="207" t="str">
        <f t="shared" si="20"/>
        <v>Sin recurso</v>
      </c>
      <c r="AG91" s="207">
        <f t="shared" si="13"/>
        <v>0</v>
      </c>
      <c r="AH91" s="257">
        <f>SUM(AG91)/12</f>
        <v>0</v>
      </c>
      <c r="AI91" s="257"/>
      <c r="AJ91" s="257">
        <f>SUM(AG91)/12</f>
        <v>0</v>
      </c>
      <c r="AK91" s="257"/>
      <c r="AL91" s="257">
        <f>SUM(AG91)/12</f>
        <v>0</v>
      </c>
      <c r="AM91" s="257"/>
      <c r="AN91" s="257">
        <f>SUM(AG91)/12</f>
        <v>0</v>
      </c>
      <c r="AO91" s="257"/>
      <c r="AP91" s="257">
        <f>SUM(AG91)/12</f>
        <v>0</v>
      </c>
      <c r="AQ91" s="257"/>
      <c r="AR91" s="257">
        <f>SUM(AG91)/12</f>
        <v>0</v>
      </c>
      <c r="AS91" s="257"/>
      <c r="AT91" s="257">
        <f>SUM(AG91)/12</f>
        <v>0</v>
      </c>
      <c r="AU91" s="257"/>
      <c r="AV91" s="257">
        <f>SUM(AG91)/12</f>
        <v>0</v>
      </c>
      <c r="AW91" s="257"/>
      <c r="AX91" s="257">
        <f>SUM(AG91)/12</f>
        <v>0</v>
      </c>
      <c r="AY91" s="257"/>
      <c r="AZ91" s="257">
        <f>SUM(AG91)/12</f>
        <v>0</v>
      </c>
      <c r="BA91" s="257"/>
      <c r="BB91" s="257">
        <f>SUM(AG91)/12</f>
        <v>0</v>
      </c>
      <c r="BC91" s="257"/>
      <c r="BD91" s="510">
        <f>SUM(AG91)/12</f>
        <v>0</v>
      </c>
      <c r="BE91" s="527"/>
      <c r="BF91" s="518">
        <f t="shared" si="14"/>
        <v>0</v>
      </c>
      <c r="BG91" s="123"/>
      <c r="BH91" s="287"/>
      <c r="BI91" s="123"/>
      <c r="BJ91" s="123"/>
      <c r="BK91" s="123"/>
      <c r="BL91" s="123"/>
      <c r="BM91" s="123"/>
      <c r="BN91" s="123"/>
      <c r="BO91" s="123"/>
      <c r="BP91" s="123"/>
    </row>
    <row r="92" spans="1:68" ht="30" customHeight="1">
      <c r="A92" s="727"/>
      <c r="B92" s="630"/>
      <c r="C92" s="630"/>
      <c r="D92" s="630"/>
      <c r="E92" s="718"/>
      <c r="F92" s="730"/>
      <c r="G92" s="724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670"/>
      <c r="U92" s="667"/>
      <c r="V92" s="674"/>
      <c r="W92" s="40">
        <v>510509</v>
      </c>
      <c r="X92" s="144" t="s">
        <v>82</v>
      </c>
      <c r="Y92" s="191">
        <v>0</v>
      </c>
      <c r="Z92" s="191"/>
      <c r="AA92" s="256">
        <f>SUM(Y92-Z92)</f>
        <v>0</v>
      </c>
      <c r="AB92" s="207">
        <f t="shared" si="21"/>
        <v>0</v>
      </c>
      <c r="AC92" s="207">
        <f t="shared" si="17"/>
        <v>0</v>
      </c>
      <c r="AD92" s="207">
        <f t="shared" si="18"/>
        <v>0</v>
      </c>
      <c r="AE92" s="207">
        <f t="shared" si="19"/>
        <v>0</v>
      </c>
      <c r="AF92" s="207" t="str">
        <f t="shared" si="20"/>
        <v>Sin recurso</v>
      </c>
      <c r="AG92" s="207">
        <f t="shared" si="13"/>
        <v>0</v>
      </c>
      <c r="AH92" s="257">
        <f>SUM(AG92)/12</f>
        <v>0</v>
      </c>
      <c r="AI92" s="257"/>
      <c r="AJ92" s="257">
        <f>SUM(AG92)/12</f>
        <v>0</v>
      </c>
      <c r="AK92" s="257"/>
      <c r="AL92" s="257">
        <f>SUM(AG92)/12</f>
        <v>0</v>
      </c>
      <c r="AM92" s="257"/>
      <c r="AN92" s="257">
        <f>SUM(AG92)/12</f>
        <v>0</v>
      </c>
      <c r="AO92" s="257"/>
      <c r="AP92" s="257">
        <f>SUM(AG92)/12</f>
        <v>0</v>
      </c>
      <c r="AQ92" s="257"/>
      <c r="AR92" s="257">
        <f>SUM(AG92)/12</f>
        <v>0</v>
      </c>
      <c r="AS92" s="257"/>
      <c r="AT92" s="257">
        <f>SUM(AG92)/12</f>
        <v>0</v>
      </c>
      <c r="AU92" s="257"/>
      <c r="AV92" s="257">
        <f>SUM(AG92)/12</f>
        <v>0</v>
      </c>
      <c r="AW92" s="257"/>
      <c r="AX92" s="257">
        <f>SUM(AG92)/12</f>
        <v>0</v>
      </c>
      <c r="AY92" s="257"/>
      <c r="AZ92" s="257">
        <f>SUM(AG92)/12</f>
        <v>0</v>
      </c>
      <c r="BA92" s="257"/>
      <c r="BB92" s="257">
        <f>SUM(AG92)/12</f>
        <v>0</v>
      </c>
      <c r="BC92" s="257"/>
      <c r="BD92" s="510">
        <f>SUM(AG92)/12</f>
        <v>0</v>
      </c>
      <c r="BE92" s="527"/>
      <c r="BF92" s="518">
        <f t="shared" si="14"/>
        <v>0</v>
      </c>
      <c r="BG92" s="123"/>
      <c r="BH92" s="287"/>
      <c r="BI92" s="123"/>
      <c r="BJ92" s="123"/>
      <c r="BK92" s="123"/>
      <c r="BL92" s="123"/>
      <c r="BM92" s="123"/>
      <c r="BN92" s="123"/>
      <c r="BO92" s="123"/>
      <c r="BP92" s="123"/>
    </row>
    <row r="93" spans="1:68" ht="28.5" customHeight="1">
      <c r="A93" s="727"/>
      <c r="B93" s="630"/>
      <c r="C93" s="630"/>
      <c r="D93" s="630"/>
      <c r="E93" s="718"/>
      <c r="F93" s="730"/>
      <c r="G93" s="724"/>
      <c r="H93" s="168">
        <v>1</v>
      </c>
      <c r="I93" s="168">
        <v>1</v>
      </c>
      <c r="J93" s="168">
        <v>1</v>
      </c>
      <c r="K93" s="168">
        <v>1</v>
      </c>
      <c r="L93" s="168">
        <v>1</v>
      </c>
      <c r="M93" s="168">
        <v>1</v>
      </c>
      <c r="N93" s="168">
        <v>1</v>
      </c>
      <c r="O93" s="168">
        <v>1</v>
      </c>
      <c r="P93" s="168">
        <v>1</v>
      </c>
      <c r="Q93" s="168">
        <v>1</v>
      </c>
      <c r="R93" s="168">
        <v>1</v>
      </c>
      <c r="S93" s="168">
        <v>1</v>
      </c>
      <c r="T93" s="670"/>
      <c r="U93" s="667"/>
      <c r="V93" s="674"/>
      <c r="W93" s="40">
        <v>510510</v>
      </c>
      <c r="X93" s="144" t="s">
        <v>83</v>
      </c>
      <c r="Y93" s="207">
        <v>20852</v>
      </c>
      <c r="Z93" s="207">
        <f>-8386.78-1085-1600-5.8</f>
        <v>-11077.58</v>
      </c>
      <c r="AA93" s="256">
        <f>SUM(Y93+Z93)</f>
        <v>9774.42</v>
      </c>
      <c r="AB93" s="207">
        <f t="shared" si="21"/>
        <v>2172</v>
      </c>
      <c r="AC93" s="207">
        <f t="shared" si="17"/>
        <v>3801.2100000000005</v>
      </c>
      <c r="AD93" s="207">
        <f t="shared" si="18"/>
        <v>3801.21</v>
      </c>
      <c r="AE93" s="207">
        <f t="shared" si="19"/>
        <v>9774.4199999999983</v>
      </c>
      <c r="AF93" s="207">
        <f t="shared" si="20"/>
        <v>0.46875215806637244</v>
      </c>
      <c r="AG93" s="207">
        <f t="shared" si="13"/>
        <v>1.8189894035458565E-12</v>
      </c>
      <c r="AH93" s="468">
        <v>1737.6666666666599</v>
      </c>
      <c r="AI93" s="257"/>
      <c r="AJ93" s="468">
        <v>1737.6666666666599</v>
      </c>
      <c r="AK93" s="257">
        <v>1086</v>
      </c>
      <c r="AL93" s="468">
        <v>1737.6666666666599</v>
      </c>
      <c r="AM93" s="257"/>
      <c r="AN93" s="468">
        <v>1737.6666666666599</v>
      </c>
      <c r="AO93" s="257">
        <v>1086</v>
      </c>
      <c r="AP93" s="468">
        <v>1737.6666666666599</v>
      </c>
      <c r="AQ93" s="257">
        <v>1086</v>
      </c>
      <c r="AR93" s="468">
        <v>1737.6666666666599</v>
      </c>
      <c r="AS93" s="257">
        <v>905.07</v>
      </c>
      <c r="AT93" s="468">
        <f>1737.66666666666-1397.79666666666-180.833333333333</f>
        <v>159.03666666666689</v>
      </c>
      <c r="AU93" s="257">
        <v>905.07</v>
      </c>
      <c r="AV93" s="468">
        <f>1737.66666666666-1397.79666666666-180.833333333333</f>
        <v>159.03666666666689</v>
      </c>
      <c r="AW93" s="257">
        <v>905.07</v>
      </c>
      <c r="AX93" s="468">
        <f>1737.66666666666-1397.79666666666-180.833333333333</f>
        <v>159.03666666666689</v>
      </c>
      <c r="AY93" s="257">
        <v>905.07</v>
      </c>
      <c r="AZ93" s="468">
        <f>1737.66666666666-1397.79666666666-180.833333333333</f>
        <v>159.03666666666689</v>
      </c>
      <c r="BA93" s="257">
        <v>905.07</v>
      </c>
      <c r="BB93" s="468">
        <f>1737.66666666666-1397.79666666666-180.833333333333</f>
        <v>159.03666666666689</v>
      </c>
      <c r="BC93" s="257">
        <v>905.07</v>
      </c>
      <c r="BD93" s="468">
        <f>1737.66666666666-1397.79666666666-180.833333333333-1600-5.8</f>
        <v>-1446.7633333333331</v>
      </c>
      <c r="BE93" s="527">
        <v>1086</v>
      </c>
      <c r="BF93" s="518">
        <f t="shared" si="14"/>
        <v>9774.4199999999619</v>
      </c>
      <c r="BG93" s="123"/>
      <c r="BH93" s="287"/>
      <c r="BI93" s="123"/>
      <c r="BJ93" s="123"/>
      <c r="BK93" s="123"/>
      <c r="BL93" s="123"/>
      <c r="BM93" s="123"/>
      <c r="BN93" s="123"/>
      <c r="BO93" s="123"/>
      <c r="BP93" s="123"/>
    </row>
    <row r="94" spans="1:68" ht="15">
      <c r="A94" s="727"/>
      <c r="B94" s="630"/>
      <c r="C94" s="630"/>
      <c r="D94" s="630"/>
      <c r="E94" s="718"/>
      <c r="F94" s="730"/>
      <c r="G94" s="724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670"/>
      <c r="U94" s="667"/>
      <c r="V94" s="674"/>
      <c r="W94" s="40">
        <v>510512</v>
      </c>
      <c r="X94" s="144" t="s">
        <v>84</v>
      </c>
      <c r="Y94" s="191">
        <v>4713</v>
      </c>
      <c r="Z94" s="351">
        <f>-4713</f>
        <v>-4713</v>
      </c>
      <c r="AA94" s="256">
        <f>SUM(Y94+Z94)</f>
        <v>0</v>
      </c>
      <c r="AB94" s="207">
        <f t="shared" si="21"/>
        <v>0</v>
      </c>
      <c r="AC94" s="207">
        <f t="shared" si="17"/>
        <v>0</v>
      </c>
      <c r="AD94" s="207">
        <f t="shared" si="18"/>
        <v>0</v>
      </c>
      <c r="AE94" s="207">
        <f t="shared" si="19"/>
        <v>0</v>
      </c>
      <c r="AF94" s="207">
        <f t="shared" si="20"/>
        <v>0</v>
      </c>
      <c r="AG94" s="207">
        <f t="shared" si="13"/>
        <v>0</v>
      </c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468">
        <v>2356.5</v>
      </c>
      <c r="AS94" s="257"/>
      <c r="AT94" s="257"/>
      <c r="AU94" s="257"/>
      <c r="AV94" s="257"/>
      <c r="AW94" s="257"/>
      <c r="AX94" s="257"/>
      <c r="AY94" s="257"/>
      <c r="AZ94" s="257"/>
      <c r="BA94" s="257"/>
      <c r="BB94" s="331"/>
      <c r="BC94" s="257"/>
      <c r="BD94" s="511">
        <f>2356.5-4713</f>
        <v>-2356.5</v>
      </c>
      <c r="BE94" s="527"/>
      <c r="BF94" s="518">
        <f t="shared" si="14"/>
        <v>0</v>
      </c>
      <c r="BG94" s="294"/>
      <c r="BH94" s="287"/>
      <c r="BI94" s="123"/>
      <c r="BJ94" s="123"/>
      <c r="BK94" s="123"/>
      <c r="BL94" s="123"/>
      <c r="BM94" s="123"/>
      <c r="BN94" s="123"/>
      <c r="BO94" s="123"/>
      <c r="BP94" s="123"/>
    </row>
    <row r="95" spans="1:68" ht="62.25" customHeight="1">
      <c r="A95" s="727"/>
      <c r="B95" s="630"/>
      <c r="C95" s="630"/>
      <c r="D95" s="630"/>
      <c r="E95" s="718"/>
      <c r="F95" s="730"/>
      <c r="G95" s="724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670"/>
      <c r="U95" s="667"/>
      <c r="V95" s="674"/>
      <c r="W95" s="40">
        <v>510513</v>
      </c>
      <c r="X95" s="144" t="s">
        <v>85</v>
      </c>
      <c r="Y95" s="191">
        <v>0</v>
      </c>
      <c r="Z95" s="191"/>
      <c r="AA95" s="256">
        <f>SUM(Y95-Z95)</f>
        <v>0</v>
      </c>
      <c r="AB95" s="207">
        <f t="shared" si="21"/>
        <v>0</v>
      </c>
      <c r="AC95" s="207">
        <f t="shared" si="17"/>
        <v>0</v>
      </c>
      <c r="AD95" s="207">
        <f t="shared" si="18"/>
        <v>0</v>
      </c>
      <c r="AE95" s="207">
        <f t="shared" si="19"/>
        <v>0</v>
      </c>
      <c r="AF95" s="207" t="str">
        <f t="shared" si="20"/>
        <v>Sin recurso</v>
      </c>
      <c r="AG95" s="207">
        <f t="shared" si="13"/>
        <v>0</v>
      </c>
      <c r="AH95" s="257">
        <v>0</v>
      </c>
      <c r="AI95" s="192"/>
      <c r="AJ95" s="192">
        <v>0</v>
      </c>
      <c r="AK95" s="192"/>
      <c r="AL95" s="192">
        <v>0</v>
      </c>
      <c r="AM95" s="192"/>
      <c r="AN95" s="192">
        <v>0</v>
      </c>
      <c r="AO95" s="192"/>
      <c r="AP95" s="192">
        <v>0</v>
      </c>
      <c r="AQ95" s="192"/>
      <c r="AR95" s="192">
        <v>0</v>
      </c>
      <c r="AS95" s="192"/>
      <c r="AT95" s="192">
        <v>0</v>
      </c>
      <c r="AU95" s="192"/>
      <c r="AV95" s="192">
        <v>0</v>
      </c>
      <c r="AW95" s="192"/>
      <c r="AX95" s="192">
        <v>0</v>
      </c>
      <c r="AY95" s="192"/>
      <c r="AZ95" s="192">
        <v>0</v>
      </c>
      <c r="BA95" s="192"/>
      <c r="BB95" s="192">
        <v>0</v>
      </c>
      <c r="BC95" s="192"/>
      <c r="BD95" s="509">
        <v>0</v>
      </c>
      <c r="BE95" s="526"/>
      <c r="BF95" s="516">
        <f t="shared" si="14"/>
        <v>0</v>
      </c>
      <c r="BG95" s="123"/>
      <c r="BH95" s="287"/>
      <c r="BI95" s="123"/>
      <c r="BJ95" s="123"/>
      <c r="BK95" s="123"/>
      <c r="BL95" s="123"/>
      <c r="BM95" s="123"/>
      <c r="BN95" s="123"/>
      <c r="BO95" s="123"/>
      <c r="BP95" s="123"/>
    </row>
    <row r="96" spans="1:68" ht="62.25" customHeight="1">
      <c r="A96" s="727"/>
      <c r="B96" s="630"/>
      <c r="C96" s="630"/>
      <c r="D96" s="630"/>
      <c r="E96" s="718"/>
      <c r="F96" s="730"/>
      <c r="G96" s="724"/>
      <c r="H96" s="168">
        <v>1</v>
      </c>
      <c r="I96" s="168">
        <v>1</v>
      </c>
      <c r="J96" s="168">
        <v>1</v>
      </c>
      <c r="K96" s="168">
        <v>1</v>
      </c>
      <c r="L96" s="168">
        <v>1</v>
      </c>
      <c r="M96" s="168">
        <v>1</v>
      </c>
      <c r="N96" s="168">
        <v>1</v>
      </c>
      <c r="O96" s="168">
        <v>1</v>
      </c>
      <c r="P96" s="168">
        <v>1</v>
      </c>
      <c r="Q96" s="168">
        <v>1</v>
      </c>
      <c r="R96" s="168">
        <v>1</v>
      </c>
      <c r="S96" s="168">
        <v>1</v>
      </c>
      <c r="T96" s="670"/>
      <c r="U96" s="667"/>
      <c r="V96" s="674"/>
      <c r="W96" s="40">
        <v>510601</v>
      </c>
      <c r="X96" s="144" t="s">
        <v>86</v>
      </c>
      <c r="Y96" s="207">
        <v>89256</v>
      </c>
      <c r="Z96" s="207">
        <f>-1600-725.39</f>
        <v>-2325.39</v>
      </c>
      <c r="AA96" s="256">
        <f>SUM(Y96+Z96)</f>
        <v>86930.61</v>
      </c>
      <c r="AB96" s="207">
        <f t="shared" si="21"/>
        <v>28595.030000000002</v>
      </c>
      <c r="AC96" s="207">
        <f t="shared" si="17"/>
        <v>29465.53</v>
      </c>
      <c r="AD96" s="207">
        <f t="shared" si="18"/>
        <v>28870.05</v>
      </c>
      <c r="AE96" s="207">
        <f t="shared" si="19"/>
        <v>86930.610000000015</v>
      </c>
      <c r="AF96" s="207">
        <f t="shared" si="20"/>
        <v>0.97394696154880356</v>
      </c>
      <c r="AG96" s="207">
        <f t="shared" si="13"/>
        <v>-1.4551915228366852E-11</v>
      </c>
      <c r="AH96" s="469">
        <v>7438</v>
      </c>
      <c r="AI96" s="257">
        <v>7066.6</v>
      </c>
      <c r="AJ96" s="469">
        <v>7438</v>
      </c>
      <c r="AK96" s="257">
        <v>7096.96</v>
      </c>
      <c r="AL96" s="469">
        <v>7438</v>
      </c>
      <c r="AM96" s="257">
        <v>6939.54</v>
      </c>
      <c r="AN96" s="469">
        <v>7438</v>
      </c>
      <c r="AO96" s="257">
        <v>7491.93</v>
      </c>
      <c r="AP96" s="469">
        <v>7438</v>
      </c>
      <c r="AQ96" s="257">
        <v>7375.23</v>
      </c>
      <c r="AR96" s="469">
        <v>7438</v>
      </c>
      <c r="AS96" s="257">
        <v>7375.23</v>
      </c>
      <c r="AT96" s="469">
        <v>7438</v>
      </c>
      <c r="AU96" s="257">
        <v>7120.43</v>
      </c>
      <c r="AV96" s="469">
        <v>7438</v>
      </c>
      <c r="AW96" s="257">
        <v>7594.64</v>
      </c>
      <c r="AX96" s="469">
        <v>7438</v>
      </c>
      <c r="AY96" s="257">
        <v>7361.22</v>
      </c>
      <c r="AZ96" s="469">
        <v>7438</v>
      </c>
      <c r="BA96" s="331">
        <v>7217.74</v>
      </c>
      <c r="BB96" s="469">
        <v>7438</v>
      </c>
      <c r="BC96" s="257">
        <v>7252.27</v>
      </c>
      <c r="BD96" s="512">
        <f>7438-1600-725.39</f>
        <v>5112.6099999999997</v>
      </c>
      <c r="BE96" s="527">
        <v>7038.82</v>
      </c>
      <c r="BF96" s="518">
        <f t="shared" si="14"/>
        <v>86930.61</v>
      </c>
      <c r="BG96" s="123"/>
      <c r="BH96" s="287"/>
      <c r="BI96" s="123"/>
      <c r="BJ96" s="123"/>
      <c r="BK96" s="123"/>
      <c r="BL96" s="123"/>
      <c r="BM96" s="123"/>
      <c r="BN96" s="123"/>
      <c r="BO96" s="123"/>
      <c r="BP96" s="123"/>
    </row>
    <row r="97" spans="1:68" ht="20.25" customHeight="1">
      <c r="A97" s="727"/>
      <c r="B97" s="630"/>
      <c r="C97" s="630"/>
      <c r="D97" s="630"/>
      <c r="E97" s="718"/>
      <c r="F97" s="730"/>
      <c r="G97" s="724"/>
      <c r="H97" s="168">
        <v>1</v>
      </c>
      <c r="I97" s="168">
        <v>1</v>
      </c>
      <c r="J97" s="168">
        <v>1</v>
      </c>
      <c r="K97" s="168">
        <v>1</v>
      </c>
      <c r="L97" s="168">
        <v>1</v>
      </c>
      <c r="M97" s="168">
        <v>1</v>
      </c>
      <c r="N97" s="168">
        <v>1</v>
      </c>
      <c r="O97" s="168">
        <v>1</v>
      </c>
      <c r="P97" s="168">
        <v>1</v>
      </c>
      <c r="Q97" s="168">
        <v>1</v>
      </c>
      <c r="R97" s="168">
        <v>1</v>
      </c>
      <c r="S97" s="168">
        <v>1</v>
      </c>
      <c r="T97" s="670"/>
      <c r="U97" s="667"/>
      <c r="V97" s="674"/>
      <c r="W97" s="41">
        <v>510602</v>
      </c>
      <c r="X97" s="144" t="s">
        <v>87</v>
      </c>
      <c r="Y97" s="207">
        <v>76079</v>
      </c>
      <c r="Z97" s="340">
        <f>-35000+7206.38-1417.21</f>
        <v>-29210.829999999998</v>
      </c>
      <c r="AA97" s="256">
        <f>SUM(Y97+Z97)</f>
        <v>46868.17</v>
      </c>
      <c r="AB97" s="207">
        <f t="shared" si="21"/>
        <v>12041.210000000001</v>
      </c>
      <c r="AC97" s="207">
        <f t="shared" si="17"/>
        <v>16026.429999999998</v>
      </c>
      <c r="AD97" s="207">
        <f t="shared" si="18"/>
        <v>18800.53</v>
      </c>
      <c r="AE97" s="207">
        <f t="shared" si="19"/>
        <v>46868.170000000013</v>
      </c>
      <c r="AF97" s="207">
        <f t="shared" si="20"/>
        <v>0.61604608367617886</v>
      </c>
      <c r="AG97" s="207">
        <f t="shared" si="13"/>
        <v>-1.4551915228366852E-11</v>
      </c>
      <c r="AH97" s="469">
        <f>6339.91666666666-2916.66666666666</f>
        <v>3423.2499999999995</v>
      </c>
      <c r="AI97" s="257"/>
      <c r="AJ97" s="469">
        <f>6339.91666666666-2916.66666666666</f>
        <v>3423.2499999999995</v>
      </c>
      <c r="AK97" s="257">
        <v>4375.58</v>
      </c>
      <c r="AL97" s="469">
        <f>6339.91666666666-2916.66666666666</f>
        <v>3423.2499999999995</v>
      </c>
      <c r="AM97" s="257">
        <v>3908.44</v>
      </c>
      <c r="AN97" s="469">
        <f>6339.91666666666-2916.66666666666</f>
        <v>3423.2499999999995</v>
      </c>
      <c r="AO97" s="257">
        <v>3757.19</v>
      </c>
      <c r="AP97" s="469">
        <f>6339.91666666666-2916.66666666666</f>
        <v>3423.2499999999995</v>
      </c>
      <c r="AQ97" s="257">
        <v>3739.85</v>
      </c>
      <c r="AR97" s="469">
        <f>6339.91666666666-2916.66666666666</f>
        <v>3423.2499999999995</v>
      </c>
      <c r="AS97" s="257">
        <v>4063.04</v>
      </c>
      <c r="AT97" s="469">
        <f>6339.91666666666-2916.66666666666+1201.06333333333</f>
        <v>4624.3133333333299</v>
      </c>
      <c r="AU97" s="257">
        <v>4209.7299999999996</v>
      </c>
      <c r="AV97" s="469">
        <f>6339.91666666666-2916.66666666666+1201.06333333333</f>
        <v>4624.3133333333299</v>
      </c>
      <c r="AW97" s="257">
        <v>4013.81</v>
      </c>
      <c r="AX97" s="469">
        <f>6339.91666666666-2916.66666666666+1201.06333333333</f>
        <v>4624.3133333333299</v>
      </c>
      <c r="AY97" s="257">
        <v>3810.23</v>
      </c>
      <c r="AZ97" s="469">
        <f>6339.91666666666-2916.66666666666+1201.06333333333</f>
        <v>4624.3133333333299</v>
      </c>
      <c r="BA97" s="257">
        <v>3733.23</v>
      </c>
      <c r="BB97" s="469">
        <f>6339.91666666666-2916.66666666666+1201.06333333333</f>
        <v>4624.3133333333299</v>
      </c>
      <c r="BC97" s="257">
        <v>3820.73</v>
      </c>
      <c r="BD97" s="512">
        <f>6339.91666666666-2916.66666666666+1201.06333333333-1417.21</f>
        <v>3207.1033333333298</v>
      </c>
      <c r="BE97" s="604">
        <v>7436.34</v>
      </c>
      <c r="BF97" s="518">
        <f t="shared" si="14"/>
        <v>46868.169999999984</v>
      </c>
      <c r="BG97" s="123"/>
      <c r="BH97" s="287"/>
      <c r="BI97" s="123"/>
      <c r="BJ97" s="123"/>
      <c r="BK97" s="123"/>
      <c r="BL97" s="123"/>
      <c r="BM97" s="123"/>
      <c r="BN97" s="123"/>
      <c r="BO97" s="123"/>
      <c r="BP97" s="123"/>
    </row>
    <row r="98" spans="1:68" ht="36">
      <c r="A98" s="727"/>
      <c r="B98" s="630"/>
      <c r="C98" s="630"/>
      <c r="D98" s="630"/>
      <c r="E98" s="718"/>
      <c r="F98" s="730"/>
      <c r="G98" s="725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>
        <v>1</v>
      </c>
      <c r="S98" s="168"/>
      <c r="T98" s="671"/>
      <c r="U98" s="668"/>
      <c r="V98" s="675"/>
      <c r="W98" s="41">
        <v>510707</v>
      </c>
      <c r="X98" s="144" t="s">
        <v>135</v>
      </c>
      <c r="Y98" s="289"/>
      <c r="Z98" s="191">
        <f>14000-10.44</f>
        <v>13989.56</v>
      </c>
      <c r="AA98" s="256">
        <f>SUM(Y98+Z98)</f>
        <v>13989.56</v>
      </c>
      <c r="AB98" s="289"/>
      <c r="AC98" s="212">
        <f t="shared" si="17"/>
        <v>0</v>
      </c>
      <c r="AD98" s="212">
        <f t="shared" si="18"/>
        <v>13989.56</v>
      </c>
      <c r="AE98" s="289">
        <f>SUM(AI98,AK98,AM98,AO98,AQ98,AS98,AU98,AW98,AY98,BA98,BC98,BE98)</f>
        <v>13989.56</v>
      </c>
      <c r="AF98" s="212" t="str">
        <f t="shared" si="20"/>
        <v>Sin recurso</v>
      </c>
      <c r="AG98" s="207">
        <f t="shared" si="13"/>
        <v>0</v>
      </c>
      <c r="AH98" s="257"/>
      <c r="AI98" s="290"/>
      <c r="AJ98" s="291"/>
      <c r="AK98" s="291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510">
        <f>14000-10.44</f>
        <v>13989.56</v>
      </c>
      <c r="BE98" s="531">
        <v>13989.56</v>
      </c>
      <c r="BF98" s="518">
        <f t="shared" si="14"/>
        <v>13989.56</v>
      </c>
      <c r="BG98" s="98"/>
      <c r="BH98" s="288"/>
      <c r="BI98" s="123"/>
      <c r="BJ98" s="123"/>
      <c r="BK98" s="123"/>
      <c r="BL98" s="123"/>
      <c r="BM98" s="123"/>
      <c r="BN98" s="123"/>
      <c r="BO98" s="123"/>
      <c r="BP98" s="123"/>
    </row>
    <row r="99" spans="1:68" ht="60.75" thickBot="1">
      <c r="A99" s="727"/>
      <c r="B99" s="630"/>
      <c r="C99" s="35" t="s">
        <v>187</v>
      </c>
      <c r="D99" s="50"/>
      <c r="E99" s="718"/>
      <c r="F99" s="337" t="s">
        <v>345</v>
      </c>
      <c r="G99" s="454" t="s">
        <v>106</v>
      </c>
      <c r="H99" s="423"/>
      <c r="I99" s="423"/>
      <c r="J99" s="423">
        <v>1</v>
      </c>
      <c r="K99" s="423"/>
      <c r="L99" s="423"/>
      <c r="M99" s="423">
        <v>1</v>
      </c>
      <c r="N99" s="423"/>
      <c r="O99" s="423"/>
      <c r="P99" s="423">
        <v>1</v>
      </c>
      <c r="Q99" s="423"/>
      <c r="R99" s="423"/>
      <c r="S99" s="423">
        <v>1</v>
      </c>
      <c r="T99" s="151" t="s">
        <v>53</v>
      </c>
      <c r="U99" s="170" t="s">
        <v>107</v>
      </c>
      <c r="V99" s="171" t="s">
        <v>108</v>
      </c>
      <c r="W99" s="432">
        <v>530803</v>
      </c>
      <c r="X99" s="80" t="s">
        <v>192</v>
      </c>
      <c r="Y99" s="209">
        <v>60</v>
      </c>
      <c r="Z99" s="209"/>
      <c r="AA99" s="256">
        <f>SUM(Y99-Z99)</f>
        <v>60</v>
      </c>
      <c r="AB99" s="207">
        <f t="shared" si="21"/>
        <v>0</v>
      </c>
      <c r="AC99" s="207">
        <f t="shared" si="17"/>
        <v>0</v>
      </c>
      <c r="AD99" s="207">
        <f t="shared" si="18"/>
        <v>0</v>
      </c>
      <c r="AE99" s="207">
        <f t="shared" si="19"/>
        <v>0</v>
      </c>
      <c r="AF99" s="207">
        <f t="shared" si="20"/>
        <v>0</v>
      </c>
      <c r="AG99" s="207">
        <f t="shared" si="13"/>
        <v>60</v>
      </c>
      <c r="AH99" s="295"/>
      <c r="AI99" s="295"/>
      <c r="AJ99" s="295"/>
      <c r="AK99" s="295"/>
      <c r="AL99" s="295">
        <v>15</v>
      </c>
      <c r="AM99" s="295"/>
      <c r="AN99" s="295"/>
      <c r="AO99" s="295"/>
      <c r="AP99" s="295"/>
      <c r="AQ99" s="295"/>
      <c r="AR99" s="295">
        <v>15</v>
      </c>
      <c r="AS99" s="295"/>
      <c r="AT99" s="295"/>
      <c r="AU99" s="295"/>
      <c r="AV99" s="295"/>
      <c r="AW99" s="295"/>
      <c r="AX99" s="295">
        <v>15</v>
      </c>
      <c r="AY99" s="295"/>
      <c r="AZ99" s="295"/>
      <c r="BA99" s="295"/>
      <c r="BB99" s="295"/>
      <c r="BC99" s="295"/>
      <c r="BD99" s="515">
        <v>15</v>
      </c>
      <c r="BE99" s="532"/>
      <c r="BF99" s="518">
        <f t="shared" si="14"/>
        <v>60</v>
      </c>
      <c r="BG99" s="123"/>
      <c r="BH99" s="287"/>
      <c r="BI99" s="123"/>
      <c r="BJ99" s="123"/>
      <c r="BK99" s="123"/>
      <c r="BL99" s="123"/>
      <c r="BM99" s="123"/>
      <c r="BN99" s="123"/>
      <c r="BO99" s="123"/>
      <c r="BP99" s="123"/>
    </row>
    <row r="100" spans="1:68" ht="58.5" customHeight="1">
      <c r="A100" s="727"/>
      <c r="B100" s="630"/>
      <c r="C100" s="35" t="s">
        <v>187</v>
      </c>
      <c r="D100" s="50"/>
      <c r="E100" s="718"/>
      <c r="F100" s="337" t="s">
        <v>346</v>
      </c>
      <c r="G100" s="454" t="s">
        <v>209</v>
      </c>
      <c r="H100" s="336"/>
      <c r="I100" s="336"/>
      <c r="J100" s="336">
        <v>1</v>
      </c>
      <c r="K100" s="336"/>
      <c r="L100" s="336"/>
      <c r="M100" s="336"/>
      <c r="N100" s="336"/>
      <c r="O100" s="336"/>
      <c r="P100" s="336"/>
      <c r="Q100" s="336"/>
      <c r="R100" s="336"/>
      <c r="S100" s="336"/>
      <c r="T100" s="330" t="s">
        <v>53</v>
      </c>
      <c r="U100" s="170" t="s">
        <v>138</v>
      </c>
      <c r="V100" s="171" t="s">
        <v>139</v>
      </c>
      <c r="W100" s="542">
        <v>530802</v>
      </c>
      <c r="X100" s="556" t="s">
        <v>359</v>
      </c>
      <c r="Y100" s="553">
        <v>224</v>
      </c>
      <c r="Z100" s="557">
        <f>(-118.3-105.7)+808.08-327.6</f>
        <v>256.48</v>
      </c>
      <c r="AA100" s="558">
        <f>SUM(Y100+Z100)</f>
        <v>480.48</v>
      </c>
      <c r="AB100" s="553">
        <f t="shared" si="21"/>
        <v>0</v>
      </c>
      <c r="AC100" s="553">
        <f t="shared" si="17"/>
        <v>0</v>
      </c>
      <c r="AD100" s="553">
        <f t="shared" si="18"/>
        <v>480.48</v>
      </c>
      <c r="AE100" s="553">
        <f t="shared" ref="AE100:AE105" si="22">SUM(AI100,AK100,AM100,AO100,AQ100,AS100,AU100,AW100,AY100,BA100,BC100,BE100)</f>
        <v>480.48</v>
      </c>
      <c r="AF100" s="553">
        <f t="shared" si="20"/>
        <v>2.145</v>
      </c>
      <c r="AG100" s="559">
        <f t="shared" si="13"/>
        <v>0</v>
      </c>
      <c r="AH100" s="560"/>
      <c r="AI100" s="560"/>
      <c r="AJ100" s="560"/>
      <c r="AK100" s="560"/>
      <c r="AL100" s="560">
        <v>224</v>
      </c>
      <c r="AM100" s="560"/>
      <c r="AN100" s="560"/>
      <c r="AO100" s="560"/>
      <c r="AP100" s="560">
        <f>(-118.3)</f>
        <v>-118.3</v>
      </c>
      <c r="AQ100" s="560"/>
      <c r="AR100" s="560"/>
      <c r="AS100" s="560"/>
      <c r="AT100" s="560"/>
      <c r="AU100" s="560"/>
      <c r="AV100" s="560">
        <f>-105.7+808.08</f>
        <v>702.38</v>
      </c>
      <c r="AW100" s="560"/>
      <c r="AX100" s="560"/>
      <c r="AY100" s="560">
        <v>480.48</v>
      </c>
      <c r="AZ100" s="560"/>
      <c r="BA100" s="560"/>
      <c r="BB100" s="560">
        <v>-327.60000000000002</v>
      </c>
      <c r="BC100" s="560"/>
      <c r="BD100" s="561"/>
      <c r="BE100" s="560"/>
      <c r="BF100" s="562">
        <f t="shared" si="14"/>
        <v>480.48</v>
      </c>
      <c r="BG100" s="123"/>
      <c r="BH100" s="287"/>
      <c r="BI100" s="123"/>
      <c r="BJ100" s="123"/>
      <c r="BK100" s="123"/>
      <c r="BL100" s="123"/>
      <c r="BM100" s="123"/>
      <c r="BN100" s="123"/>
      <c r="BO100" s="123"/>
      <c r="BP100" s="123"/>
    </row>
    <row r="101" spans="1:68" ht="58.5" customHeight="1">
      <c r="A101" s="575"/>
      <c r="B101" s="576"/>
      <c r="C101" s="577" t="s">
        <v>394</v>
      </c>
      <c r="D101" s="578"/>
      <c r="E101" s="579"/>
      <c r="F101" s="580" t="s">
        <v>395</v>
      </c>
      <c r="G101" s="581" t="s">
        <v>396</v>
      </c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>
        <v>1</v>
      </c>
      <c r="S101" s="582"/>
      <c r="T101" s="583" t="s">
        <v>53</v>
      </c>
      <c r="U101" s="584" t="s">
        <v>397</v>
      </c>
      <c r="V101" s="585" t="s">
        <v>139</v>
      </c>
      <c r="W101" s="586">
        <v>570206</v>
      </c>
      <c r="X101" s="587" t="s">
        <v>398</v>
      </c>
      <c r="Y101" s="588"/>
      <c r="Z101" s="588">
        <f>75-0.12</f>
        <v>74.88</v>
      </c>
      <c r="AA101" s="558">
        <f>SUM(Y101+Z101)</f>
        <v>74.88</v>
      </c>
      <c r="AB101" s="554">
        <f t="shared" ref="AB101" si="23">SUM(AI101,AK101,AM101,AO101)</f>
        <v>0</v>
      </c>
      <c r="AC101" s="554">
        <f t="shared" ref="AC101" si="24">SUM(AQ101,AS101,AU101,AW101)</f>
        <v>0</v>
      </c>
      <c r="AD101" s="554">
        <f>SUM(AY101,BA101,BC101,BE101)</f>
        <v>74.88</v>
      </c>
      <c r="AE101" s="554">
        <f t="shared" si="22"/>
        <v>74.88</v>
      </c>
      <c r="AF101" s="554" t="str">
        <f t="shared" ref="AF101" si="25">IF(Y101=0,("Sin recurso"),(AE101/Y101))</f>
        <v>Sin recurso</v>
      </c>
      <c r="AG101" s="559">
        <f t="shared" ref="AG101" si="26">SUM(AA101-AE101)</f>
        <v>0</v>
      </c>
      <c r="AH101" s="589"/>
      <c r="AI101" s="589"/>
      <c r="AJ101" s="589"/>
      <c r="AK101" s="589"/>
      <c r="AL101" s="589"/>
      <c r="AM101" s="589"/>
      <c r="AN101" s="589"/>
      <c r="AO101" s="589"/>
      <c r="AP101" s="589"/>
      <c r="AQ101" s="589"/>
      <c r="AR101" s="589"/>
      <c r="AS101" s="589"/>
      <c r="AT101" s="589"/>
      <c r="AU101" s="589"/>
      <c r="AV101" s="589"/>
      <c r="AW101" s="589"/>
      <c r="AX101" s="589"/>
      <c r="AY101" s="589"/>
      <c r="AZ101" s="589"/>
      <c r="BA101" s="589"/>
      <c r="BB101" s="589">
        <v>75</v>
      </c>
      <c r="BC101" s="589">
        <v>74.88</v>
      </c>
      <c r="BD101" s="589">
        <f>-0.12</f>
        <v>-0.12</v>
      </c>
      <c r="BE101" s="589"/>
      <c r="BF101" s="562">
        <f t="shared" si="14"/>
        <v>74.88</v>
      </c>
      <c r="BG101" s="123"/>
      <c r="BH101" s="287"/>
      <c r="BI101" s="123"/>
      <c r="BJ101" s="123"/>
      <c r="BK101" s="123"/>
      <c r="BL101" s="123"/>
      <c r="BM101" s="123"/>
      <c r="BN101" s="123"/>
      <c r="BO101" s="123"/>
      <c r="BP101" s="123"/>
    </row>
    <row r="102" spans="1:68" ht="58.5" customHeight="1" thickBot="1">
      <c r="A102" s="538"/>
      <c r="B102" s="606" t="s">
        <v>381</v>
      </c>
      <c r="C102" s="35" t="s">
        <v>187</v>
      </c>
      <c r="D102" s="536"/>
      <c r="E102" s="537"/>
      <c r="F102" s="337" t="s">
        <v>382</v>
      </c>
      <c r="G102" s="563" t="s">
        <v>215</v>
      </c>
      <c r="H102" s="549"/>
      <c r="I102" s="545"/>
      <c r="J102" s="541"/>
      <c r="K102" s="541"/>
      <c r="L102" s="541"/>
      <c r="M102" s="541"/>
      <c r="N102" s="541"/>
      <c r="O102" s="541">
        <v>1</v>
      </c>
      <c r="P102" s="541"/>
      <c r="Q102" s="547"/>
      <c r="R102" s="550"/>
      <c r="S102" s="550"/>
      <c r="T102" s="564" t="s">
        <v>53</v>
      </c>
      <c r="U102" s="565" t="s">
        <v>383</v>
      </c>
      <c r="V102" s="566" t="s">
        <v>59</v>
      </c>
      <c r="W102" s="567">
        <v>531404</v>
      </c>
      <c r="X102" s="568" t="s">
        <v>384</v>
      </c>
      <c r="Y102" s="569">
        <v>0</v>
      </c>
      <c r="Z102" s="570">
        <f>705.6-705.6</f>
        <v>0</v>
      </c>
      <c r="AA102" s="571">
        <f>SUM(Y102+Z102)</f>
        <v>0</v>
      </c>
      <c r="AB102" s="554">
        <f t="shared" ref="AB102:AB105" si="27">SUM(AI102,AK102,AM102,AO102)</f>
        <v>0</v>
      </c>
      <c r="AC102" s="554">
        <f t="shared" ref="AC102:AC105" si="28">SUM(AQ102,AS102,AU102,AW102)</f>
        <v>0</v>
      </c>
      <c r="AD102" s="554">
        <f t="shared" ref="AD102:AD105" si="29">SUM(AY102,BA102,BC102,BE102)</f>
        <v>0</v>
      </c>
      <c r="AE102" s="554">
        <f t="shared" si="22"/>
        <v>0</v>
      </c>
      <c r="AF102" s="554" t="str">
        <f t="shared" ref="AF102:AF105" si="30">IF(Y102=0,("Sin recurso"),(AE102/Y102))</f>
        <v>Sin recurso</v>
      </c>
      <c r="AG102" s="572">
        <f t="shared" ref="AG102:AG105" si="31">SUM(AA102-AE102)</f>
        <v>0</v>
      </c>
      <c r="AH102" s="573"/>
      <c r="AI102" s="573"/>
      <c r="AJ102" s="573"/>
      <c r="AK102" s="573"/>
      <c r="AL102" s="573"/>
      <c r="AM102" s="573"/>
      <c r="AN102" s="573"/>
      <c r="AO102" s="573"/>
      <c r="AP102" s="573"/>
      <c r="AQ102" s="573"/>
      <c r="AR102" s="573"/>
      <c r="AS102" s="573"/>
      <c r="AT102" s="573"/>
      <c r="AU102" s="573"/>
      <c r="AV102" s="544">
        <v>705.6</v>
      </c>
      <c r="AW102" s="573"/>
      <c r="AX102" s="573"/>
      <c r="AY102" s="573"/>
      <c r="AZ102" s="573"/>
      <c r="BA102" s="573"/>
      <c r="BB102" s="573">
        <v>-705.6</v>
      </c>
      <c r="BC102" s="573"/>
      <c r="BD102" s="573"/>
      <c r="BE102" s="573"/>
      <c r="BF102" s="574">
        <f t="shared" si="14"/>
        <v>0</v>
      </c>
      <c r="BG102" s="123"/>
      <c r="BH102" s="287"/>
      <c r="BI102" s="123"/>
      <c r="BJ102" s="123"/>
      <c r="BK102" s="123"/>
      <c r="BL102" s="123"/>
      <c r="BM102" s="123"/>
      <c r="BN102" s="123"/>
      <c r="BO102" s="123"/>
      <c r="BP102" s="123"/>
    </row>
    <row r="103" spans="1:68" ht="58.5" customHeight="1" thickBot="1">
      <c r="A103" s="538"/>
      <c r="B103" s="607"/>
      <c r="C103" s="35" t="s">
        <v>187</v>
      </c>
      <c r="D103" s="536"/>
      <c r="E103" s="537"/>
      <c r="F103" s="337" t="s">
        <v>385</v>
      </c>
      <c r="G103" s="535" t="s">
        <v>215</v>
      </c>
      <c r="H103" s="549"/>
      <c r="I103" s="545"/>
      <c r="J103" s="541"/>
      <c r="K103" s="541"/>
      <c r="L103" s="541"/>
      <c r="M103" s="541"/>
      <c r="N103" s="541"/>
      <c r="O103" s="541">
        <v>1</v>
      </c>
      <c r="P103" s="541"/>
      <c r="Q103" s="547"/>
      <c r="R103" s="546"/>
      <c r="S103" s="546"/>
      <c r="T103" s="548" t="s">
        <v>53</v>
      </c>
      <c r="U103" s="170" t="s">
        <v>383</v>
      </c>
      <c r="V103" s="147" t="s">
        <v>59</v>
      </c>
      <c r="W103" s="542">
        <v>530826</v>
      </c>
      <c r="X103" s="543" t="s">
        <v>386</v>
      </c>
      <c r="Y103" s="554">
        <v>0</v>
      </c>
      <c r="Z103" s="191"/>
      <c r="AA103" s="256"/>
      <c r="AB103" s="212">
        <f t="shared" si="27"/>
        <v>0</v>
      </c>
      <c r="AC103" s="212">
        <f t="shared" si="28"/>
        <v>0</v>
      </c>
      <c r="AD103" s="212">
        <f t="shared" si="29"/>
        <v>0</v>
      </c>
      <c r="AE103" s="212">
        <f t="shared" si="22"/>
        <v>0</v>
      </c>
      <c r="AF103" s="212" t="str">
        <f t="shared" si="30"/>
        <v>Sin recurso</v>
      </c>
      <c r="AG103" s="475">
        <f t="shared" si="31"/>
        <v>0</v>
      </c>
      <c r="AH103" s="551"/>
      <c r="AI103" s="551"/>
      <c r="AJ103" s="551"/>
      <c r="AK103" s="551"/>
      <c r="AL103" s="551"/>
      <c r="AM103" s="551"/>
      <c r="AN103" s="551"/>
      <c r="AO103" s="551"/>
      <c r="AP103" s="551"/>
      <c r="AQ103" s="551"/>
      <c r="AR103" s="551"/>
      <c r="AS103" s="551"/>
      <c r="AT103" s="551"/>
      <c r="AU103" s="551"/>
      <c r="AV103" s="544">
        <v>0</v>
      </c>
      <c r="AW103" s="551"/>
      <c r="AX103" s="551"/>
      <c r="AY103" s="551"/>
      <c r="AZ103" s="551"/>
      <c r="BA103" s="551"/>
      <c r="BB103" s="551"/>
      <c r="BC103" s="551"/>
      <c r="BD103" s="551"/>
      <c r="BE103" s="551"/>
      <c r="BF103" s="508">
        <f t="shared" si="14"/>
        <v>0</v>
      </c>
      <c r="BG103" s="123"/>
      <c r="BH103" s="287"/>
      <c r="BI103" s="123"/>
      <c r="BJ103" s="123"/>
      <c r="BK103" s="123"/>
      <c r="BL103" s="123"/>
      <c r="BM103" s="123"/>
      <c r="BN103" s="123"/>
      <c r="BO103" s="123"/>
      <c r="BP103" s="123"/>
    </row>
    <row r="104" spans="1:68" ht="58.5" customHeight="1" thickBot="1">
      <c r="A104" s="538"/>
      <c r="B104" s="607"/>
      <c r="C104" s="35" t="s">
        <v>187</v>
      </c>
      <c r="D104" s="536"/>
      <c r="E104" s="537"/>
      <c r="F104" s="337" t="s">
        <v>387</v>
      </c>
      <c r="G104" s="535" t="s">
        <v>215</v>
      </c>
      <c r="H104" s="549"/>
      <c r="I104" s="545"/>
      <c r="J104" s="541"/>
      <c r="K104" s="541"/>
      <c r="L104" s="541"/>
      <c r="M104" s="541"/>
      <c r="N104" s="541"/>
      <c r="O104" s="541">
        <v>1</v>
      </c>
      <c r="P104" s="541"/>
      <c r="Q104" s="547"/>
      <c r="R104" s="546"/>
      <c r="S104" s="546"/>
      <c r="T104" s="548" t="s">
        <v>53</v>
      </c>
      <c r="U104" s="170" t="s">
        <v>383</v>
      </c>
      <c r="V104" s="147" t="s">
        <v>59</v>
      </c>
      <c r="W104" s="542">
        <v>530809</v>
      </c>
      <c r="X104" s="543" t="s">
        <v>388</v>
      </c>
      <c r="Y104" s="554">
        <v>0</v>
      </c>
      <c r="Z104" s="191">
        <v>247.52</v>
      </c>
      <c r="AA104" s="256">
        <f>SUM(Y104+Z104)</f>
        <v>247.52</v>
      </c>
      <c r="AB104" s="212">
        <f t="shared" si="27"/>
        <v>0</v>
      </c>
      <c r="AC104" s="212">
        <f t="shared" si="28"/>
        <v>0</v>
      </c>
      <c r="AD104" s="212">
        <f t="shared" si="29"/>
        <v>247.52</v>
      </c>
      <c r="AE104" s="212">
        <f t="shared" si="22"/>
        <v>247.52</v>
      </c>
      <c r="AF104" s="212" t="str">
        <f t="shared" si="30"/>
        <v>Sin recurso</v>
      </c>
      <c r="AG104" s="475">
        <f t="shared" si="31"/>
        <v>0</v>
      </c>
      <c r="AH104" s="551"/>
      <c r="AI104" s="551"/>
      <c r="AJ104" s="551"/>
      <c r="AK104" s="551"/>
      <c r="AL104" s="551"/>
      <c r="AM104" s="551"/>
      <c r="AN104" s="551"/>
      <c r="AO104" s="551"/>
      <c r="AP104" s="551"/>
      <c r="AQ104" s="551"/>
      <c r="AR104" s="551"/>
      <c r="AS104" s="551"/>
      <c r="AT104" s="551"/>
      <c r="AU104" s="551"/>
      <c r="AV104" s="544">
        <v>247.52</v>
      </c>
      <c r="AW104" s="551"/>
      <c r="AX104" s="551"/>
      <c r="AY104" s="551">
        <v>247.52</v>
      </c>
      <c r="AZ104" s="551"/>
      <c r="BA104" s="551"/>
      <c r="BB104" s="551"/>
      <c r="BC104" s="551"/>
      <c r="BD104" s="551"/>
      <c r="BE104" s="551"/>
      <c r="BF104" s="508">
        <f t="shared" si="14"/>
        <v>247.52</v>
      </c>
      <c r="BG104" s="123"/>
      <c r="BH104" s="287"/>
      <c r="BI104" s="123"/>
      <c r="BJ104" s="123"/>
      <c r="BK104" s="123"/>
      <c r="BL104" s="123"/>
      <c r="BM104" s="123"/>
      <c r="BN104" s="123"/>
      <c r="BO104" s="123"/>
      <c r="BP104" s="123"/>
    </row>
    <row r="105" spans="1:68" ht="58.5" customHeight="1" thickBot="1">
      <c r="A105" s="538"/>
      <c r="B105" s="608"/>
      <c r="C105" s="35" t="s">
        <v>187</v>
      </c>
      <c r="D105" s="536"/>
      <c r="E105" s="537"/>
      <c r="F105" s="337" t="s">
        <v>389</v>
      </c>
      <c r="G105" s="535" t="s">
        <v>215</v>
      </c>
      <c r="H105" s="550"/>
      <c r="I105" s="545"/>
      <c r="J105" s="541"/>
      <c r="K105" s="541"/>
      <c r="L105" s="541"/>
      <c r="M105" s="541"/>
      <c r="N105" s="541"/>
      <c r="O105" s="541">
        <v>1</v>
      </c>
      <c r="P105" s="541"/>
      <c r="Q105" s="547"/>
      <c r="R105" s="546"/>
      <c r="S105" s="546"/>
      <c r="T105" s="548" t="s">
        <v>53</v>
      </c>
      <c r="U105" s="170" t="s">
        <v>383</v>
      </c>
      <c r="V105" s="147" t="s">
        <v>59</v>
      </c>
      <c r="W105" s="542">
        <v>530805</v>
      </c>
      <c r="X105" s="543" t="s">
        <v>390</v>
      </c>
      <c r="Y105" s="554">
        <v>0</v>
      </c>
      <c r="Z105" s="191">
        <f>451.36-32.76</f>
        <v>418.6</v>
      </c>
      <c r="AA105" s="256">
        <f>SUM(Y105+Z105)</f>
        <v>418.6</v>
      </c>
      <c r="AB105" s="212">
        <f t="shared" si="27"/>
        <v>0</v>
      </c>
      <c r="AC105" s="212">
        <f t="shared" si="28"/>
        <v>0</v>
      </c>
      <c r="AD105" s="212">
        <f t="shared" si="29"/>
        <v>418.6</v>
      </c>
      <c r="AE105" s="212">
        <f t="shared" si="22"/>
        <v>418.6</v>
      </c>
      <c r="AF105" s="212" t="str">
        <f t="shared" si="30"/>
        <v>Sin recurso</v>
      </c>
      <c r="AG105" s="475">
        <f t="shared" si="31"/>
        <v>0</v>
      </c>
      <c r="AH105" s="551"/>
      <c r="AI105" s="551"/>
      <c r="AJ105" s="551"/>
      <c r="AK105" s="551"/>
      <c r="AL105" s="551"/>
      <c r="AM105" s="551"/>
      <c r="AN105" s="551"/>
      <c r="AO105" s="551"/>
      <c r="AP105" s="551"/>
      <c r="AQ105" s="551"/>
      <c r="AR105" s="551"/>
      <c r="AS105" s="551"/>
      <c r="AT105" s="551"/>
      <c r="AU105" s="551"/>
      <c r="AV105" s="552">
        <v>451.36</v>
      </c>
      <c r="AW105" s="551"/>
      <c r="AX105" s="551"/>
      <c r="AY105" s="551">
        <v>418.6</v>
      </c>
      <c r="AZ105" s="551"/>
      <c r="BA105" s="551"/>
      <c r="BB105" s="551">
        <v>-32.76</v>
      </c>
      <c r="BC105" s="551"/>
      <c r="BD105" s="551"/>
      <c r="BE105" s="551"/>
      <c r="BF105" s="508">
        <f t="shared" si="14"/>
        <v>418.6</v>
      </c>
      <c r="BG105" s="123"/>
      <c r="BH105" s="287"/>
      <c r="BI105" s="123"/>
      <c r="BJ105" s="123"/>
      <c r="BK105" s="123"/>
      <c r="BL105" s="123"/>
      <c r="BM105" s="123"/>
      <c r="BN105" s="123"/>
      <c r="BO105" s="123"/>
      <c r="BP105" s="123"/>
    </row>
    <row r="106" spans="1:68" s="251" customFormat="1" ht="34.5" customHeight="1" thickBot="1">
      <c r="A106" s="451"/>
      <c r="B106" s="504"/>
      <c r="C106" s="452"/>
      <c r="D106" s="452"/>
      <c r="E106" s="452"/>
      <c r="F106" s="452"/>
      <c r="G106" s="452"/>
      <c r="H106" s="438"/>
      <c r="I106" s="247"/>
      <c r="J106" s="247"/>
      <c r="K106" s="247"/>
      <c r="L106" s="247"/>
      <c r="M106" s="247"/>
      <c r="N106" s="247"/>
      <c r="O106" s="247"/>
      <c r="P106" s="247"/>
      <c r="Q106" s="247"/>
      <c r="R106" s="505"/>
      <c r="S106" s="506"/>
      <c r="T106" s="507"/>
      <c r="U106" s="452"/>
      <c r="V106" s="452"/>
      <c r="W106" s="452"/>
      <c r="X106" s="452" t="s">
        <v>228</v>
      </c>
      <c r="Y106" s="248">
        <f t="shared" ref="Y106" si="32">SUM(Y14:Y100)</f>
        <v>1243070</v>
      </c>
      <c r="Z106" s="258">
        <f t="shared" ref="Z106:AF106" si="33">SUM(Z14:Z105)</f>
        <v>-111826.85999999999</v>
      </c>
      <c r="AA106" s="258">
        <f t="shared" si="33"/>
        <v>1131243.1399999999</v>
      </c>
      <c r="AB106" s="258">
        <f t="shared" si="33"/>
        <v>373633.07000000012</v>
      </c>
      <c r="AC106" s="258">
        <f t="shared" si="33"/>
        <v>362282.19</v>
      </c>
      <c r="AD106" s="258">
        <f t="shared" si="33"/>
        <v>395076.35999999993</v>
      </c>
      <c r="AE106" s="258">
        <f t="shared" si="33"/>
        <v>1130991.6199999999</v>
      </c>
      <c r="AF106" s="258">
        <f t="shared" si="33"/>
        <v>39.082594875691335</v>
      </c>
      <c r="AG106" s="349">
        <f>SUM(AG14:AG105)</f>
        <v>291.51999999997588</v>
      </c>
      <c r="AH106" s="249">
        <f>SUM(AH14:AH105)</f>
        <v>94413.333333333299</v>
      </c>
      <c r="AI106" s="249">
        <f t="shared" ref="AI106:BE106" si="34">SUM(AI14:AI105)</f>
        <v>86514.26999999999</v>
      </c>
      <c r="AJ106" s="249">
        <f t="shared" si="34"/>
        <v>103303.3333333333</v>
      </c>
      <c r="AK106" s="249">
        <f t="shared" si="34"/>
        <v>95731.73000000001</v>
      </c>
      <c r="AL106" s="249">
        <f t="shared" si="34"/>
        <v>99827.833333333299</v>
      </c>
      <c r="AM106" s="249">
        <f t="shared" si="34"/>
        <v>93543.67</v>
      </c>
      <c r="AN106" s="249">
        <f t="shared" si="34"/>
        <v>100291.99999999997</v>
      </c>
      <c r="AO106" s="249">
        <f t="shared" si="34"/>
        <v>97843.4</v>
      </c>
      <c r="AP106" s="249">
        <f t="shared" si="34"/>
        <v>97076.107083333292</v>
      </c>
      <c r="AQ106" s="249">
        <f t="shared" si="34"/>
        <v>95032.11</v>
      </c>
      <c r="AR106" s="249">
        <f t="shared" si="34"/>
        <v>104667.1570833333</v>
      </c>
      <c r="AS106" s="249">
        <f t="shared" si="34"/>
        <v>87155.01</v>
      </c>
      <c r="AT106" s="249">
        <f t="shared" si="34"/>
        <v>90781.437083333309</v>
      </c>
      <c r="AU106" s="249">
        <f t="shared" si="34"/>
        <v>84117.780000000013</v>
      </c>
      <c r="AV106" s="249">
        <f t="shared" si="34"/>
        <v>92003.303749999992</v>
      </c>
      <c r="AW106" s="249">
        <f t="shared" si="34"/>
        <v>95977.290000000008</v>
      </c>
      <c r="AX106" s="249">
        <f t="shared" si="34"/>
        <v>90710.13708333332</v>
      </c>
      <c r="AY106" s="249">
        <f t="shared" si="34"/>
        <v>86495.520000000019</v>
      </c>
      <c r="AZ106" s="249">
        <f t="shared" si="34"/>
        <v>90576.63708333332</v>
      </c>
      <c r="BA106" s="249">
        <f t="shared" si="34"/>
        <v>84988.83</v>
      </c>
      <c r="BB106" s="249">
        <f t="shared" si="34"/>
        <v>89145.167083333305</v>
      </c>
      <c r="BC106" s="249">
        <f t="shared" si="34"/>
        <v>84660.970000000016</v>
      </c>
      <c r="BD106" s="249">
        <f t="shared" si="34"/>
        <v>78446.693749999991</v>
      </c>
      <c r="BE106" s="249">
        <f t="shared" si="34"/>
        <v>138931.03999999998</v>
      </c>
      <c r="BF106" s="521">
        <f>SUM(BF14:BF105)</f>
        <v>1131243.1399999999</v>
      </c>
      <c r="BG106" s="250">
        <f>+AH106+AJ106+AL106+AN106+AP106+AR106+AT106+AV106+AX106+AZ106+BB106+BD106</f>
        <v>1131243.1399999997</v>
      </c>
      <c r="BH106" s="287"/>
      <c r="BI106" s="250">
        <f>Y10813</f>
        <v>0</v>
      </c>
    </row>
    <row r="107" spans="1:68" ht="32.25" thickBot="1">
      <c r="C107" s="1" t="s">
        <v>144</v>
      </c>
      <c r="D107" s="1" t="s">
        <v>177</v>
      </c>
      <c r="Y107" s="61" t="s">
        <v>148</v>
      </c>
      <c r="Z107" s="220"/>
      <c r="AA107" s="220"/>
      <c r="AB107" s="220"/>
      <c r="AC107" s="220"/>
      <c r="AD107" s="220"/>
      <c r="AE107" s="220"/>
      <c r="AF107" s="220"/>
      <c r="AG107" s="220"/>
      <c r="AH107" s="78" t="s">
        <v>22</v>
      </c>
      <c r="AI107" s="78"/>
      <c r="AJ107" s="78" t="s">
        <v>22</v>
      </c>
      <c r="AK107" s="78"/>
      <c r="AL107" s="78" t="s">
        <v>22</v>
      </c>
      <c r="AM107" s="78"/>
      <c r="AN107" s="78" t="s">
        <v>22</v>
      </c>
      <c r="AO107" s="78"/>
      <c r="AP107" s="78" t="s">
        <v>22</v>
      </c>
      <c r="AQ107" s="298"/>
      <c r="AR107" s="78" t="s">
        <v>22</v>
      </c>
      <c r="AS107" s="78"/>
      <c r="AT107" s="78" t="s">
        <v>22</v>
      </c>
      <c r="AU107" s="78"/>
      <c r="AV107" s="78" t="s">
        <v>22</v>
      </c>
      <c r="AW107" s="78"/>
      <c r="AX107" s="78" t="s">
        <v>22</v>
      </c>
      <c r="AY107" s="78"/>
      <c r="AZ107" s="78" t="s">
        <v>22</v>
      </c>
      <c r="BA107" s="78"/>
      <c r="BB107" s="78" t="s">
        <v>22</v>
      </c>
      <c r="BC107" s="78"/>
      <c r="BD107" s="252" t="s">
        <v>22</v>
      </c>
      <c r="BE107" s="533"/>
      <c r="BF107" s="522"/>
      <c r="BH107" s="287"/>
    </row>
    <row r="108" spans="1:68" ht="21.75" thickTop="1">
      <c r="A108" s="45"/>
      <c r="B108" s="45"/>
      <c r="C108" s="45"/>
      <c r="D108" s="45"/>
      <c r="E108" s="45"/>
      <c r="F108" s="266"/>
      <c r="G108" s="267" t="s">
        <v>414</v>
      </c>
      <c r="H108" s="268"/>
      <c r="I108" s="266"/>
      <c r="J108" s="266"/>
      <c r="K108" s="269"/>
      <c r="L108" s="266"/>
      <c r="M108" s="266"/>
      <c r="N108" s="266"/>
      <c r="O108" s="266"/>
      <c r="P108" s="266"/>
      <c r="Q108" s="266"/>
      <c r="R108" s="124"/>
      <c r="S108" s="88"/>
      <c r="T108" s="70"/>
      <c r="U108" s="71"/>
      <c r="V108" s="45"/>
      <c r="W108" s="45"/>
      <c r="X108" s="71"/>
      <c r="Y108" s="72"/>
      <c r="Z108" s="72"/>
      <c r="AA108" s="72"/>
      <c r="AB108" s="72"/>
      <c r="AC108" s="72"/>
      <c r="AD108" s="72"/>
      <c r="AE108" s="72"/>
      <c r="AF108" s="72"/>
      <c r="AG108" s="72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286"/>
      <c r="AZ108" s="73"/>
      <c r="BA108" s="73"/>
      <c r="BB108" s="73"/>
      <c r="BC108" s="73"/>
      <c r="BD108" s="73"/>
      <c r="BE108" s="73"/>
      <c r="BF108" s="75"/>
      <c r="BG108" s="121">
        <f>+BG106-AA106</f>
        <v>0</v>
      </c>
    </row>
    <row r="109" spans="1:68" ht="15.75">
      <c r="A109" s="45"/>
      <c r="B109" s="45"/>
      <c r="C109" s="45"/>
      <c r="D109" s="45"/>
      <c r="E109" s="45"/>
      <c r="F109" s="632" t="s">
        <v>229</v>
      </c>
      <c r="G109" s="633"/>
      <c r="H109" s="633"/>
      <c r="I109" s="634"/>
      <c r="J109" s="260"/>
      <c r="K109" s="635" t="s">
        <v>230</v>
      </c>
      <c r="L109" s="636"/>
      <c r="M109" s="636"/>
      <c r="N109" s="636"/>
      <c r="O109" s="636"/>
      <c r="P109" s="636"/>
      <c r="Q109" s="637"/>
      <c r="R109" s="124"/>
      <c r="S109" s="88"/>
      <c r="T109" s="70"/>
      <c r="U109" s="71"/>
      <c r="V109" s="45"/>
      <c r="W109" s="45"/>
      <c r="X109" s="71"/>
      <c r="Y109" s="72"/>
      <c r="Z109" s="72"/>
      <c r="AA109" s="72"/>
      <c r="AB109" s="72"/>
      <c r="AC109" s="72"/>
      <c r="AD109" s="72"/>
      <c r="AE109" s="72"/>
      <c r="AF109" s="72"/>
      <c r="AG109" s="72"/>
      <c r="AH109" s="73"/>
      <c r="AI109" s="73"/>
      <c r="AJ109" s="73"/>
      <c r="AK109" s="73"/>
      <c r="AL109" s="286"/>
      <c r="AN109" s="73"/>
      <c r="AO109" s="73"/>
      <c r="AP109" s="73"/>
      <c r="AQ109" s="73"/>
      <c r="AR109" s="73"/>
      <c r="AS109" s="73"/>
      <c r="AT109" s="73"/>
      <c r="AU109" s="286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265">
        <f>+BF106-AA106</f>
        <v>0</v>
      </c>
    </row>
    <row r="110" spans="1:68" ht="16.5" thickBot="1">
      <c r="A110" s="45"/>
      <c r="B110" s="45"/>
      <c r="C110" s="45"/>
      <c r="D110" s="45"/>
      <c r="E110" s="45"/>
      <c r="F110" s="632" t="s">
        <v>363</v>
      </c>
      <c r="G110" s="633"/>
      <c r="H110" s="633"/>
      <c r="I110" s="634"/>
      <c r="J110" s="260"/>
      <c r="K110" s="638" t="s">
        <v>363</v>
      </c>
      <c r="L110" s="639"/>
      <c r="M110" s="639"/>
      <c r="N110" s="639"/>
      <c r="O110" s="639"/>
      <c r="P110" s="639"/>
      <c r="Q110" s="640"/>
      <c r="R110" s="124"/>
      <c r="S110" s="88"/>
      <c r="T110" s="70"/>
      <c r="U110" s="71"/>
      <c r="V110" s="45"/>
      <c r="W110" s="45"/>
      <c r="X110" s="71"/>
      <c r="Y110" s="72"/>
      <c r="Z110" s="72"/>
      <c r="AA110" s="72"/>
      <c r="AB110" s="72"/>
      <c r="AC110" s="72"/>
      <c r="AD110" s="72"/>
      <c r="AE110" s="72"/>
      <c r="AF110" s="72"/>
      <c r="AG110" s="72"/>
      <c r="AH110" s="73"/>
      <c r="AI110" s="73"/>
      <c r="AJ110" s="73"/>
      <c r="AK110" s="286"/>
      <c r="AL110" s="264"/>
      <c r="AM110" s="73"/>
      <c r="AN110" s="73"/>
      <c r="AO110" s="286"/>
      <c r="AP110" s="73"/>
      <c r="AQ110" s="73"/>
      <c r="AR110" s="73"/>
      <c r="AS110" s="264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5"/>
    </row>
    <row r="111" spans="1:68" ht="158.25" thickBot="1">
      <c r="A111" s="45"/>
      <c r="B111" s="45"/>
      <c r="C111" s="45"/>
      <c r="D111" s="45"/>
      <c r="E111" s="45"/>
      <c r="F111" s="641" t="s">
        <v>231</v>
      </c>
      <c r="G111" s="645" t="s">
        <v>232</v>
      </c>
      <c r="H111" s="646"/>
      <c r="I111" s="647" t="s">
        <v>233</v>
      </c>
      <c r="J111" s="93"/>
      <c r="K111" s="270" t="s">
        <v>234</v>
      </c>
      <c r="L111" s="270" t="s">
        <v>235</v>
      </c>
      <c r="M111" s="270" t="s">
        <v>236</v>
      </c>
      <c r="N111" s="285" t="s">
        <v>237</v>
      </c>
      <c r="O111" s="270" t="s">
        <v>238</v>
      </c>
      <c r="P111" s="270" t="s">
        <v>239</v>
      </c>
      <c r="Q111" s="270" t="s">
        <v>243</v>
      </c>
      <c r="R111" s="124"/>
      <c r="S111" s="88"/>
      <c r="T111" s="70"/>
      <c r="U111" s="71"/>
      <c r="V111" s="45"/>
      <c r="W111" s="45"/>
      <c r="X111" s="71"/>
      <c r="Y111" s="72"/>
      <c r="Z111" s="297" t="s">
        <v>411</v>
      </c>
      <c r="AA111" s="72"/>
      <c r="AB111" s="534"/>
      <c r="AC111" s="72"/>
      <c r="AD111" s="72"/>
      <c r="AE111" s="72"/>
      <c r="AF111" s="72"/>
      <c r="AG111" s="605" t="s">
        <v>415</v>
      </c>
      <c r="AH111" s="501" t="s">
        <v>371</v>
      </c>
      <c r="AI111" s="502">
        <f>+AI106*100/AH106/12</f>
        <v>7.6361274890552195</v>
      </c>
      <c r="AJ111" s="501" t="s">
        <v>379</v>
      </c>
      <c r="AK111" s="503">
        <f>AK106*100/AJ106/12</f>
        <v>7.7225428350166219</v>
      </c>
      <c r="AL111" s="499" t="s">
        <v>375</v>
      </c>
      <c r="AM111" s="500">
        <f>AM106*100/AL106/12</f>
        <v>7.8087498977406122</v>
      </c>
      <c r="AN111" s="499" t="s">
        <v>376</v>
      </c>
      <c r="AO111" s="500">
        <f>AO106*100/AN106/12</f>
        <v>8.1298774245868746</v>
      </c>
      <c r="AP111" s="499" t="s">
        <v>378</v>
      </c>
      <c r="AQ111" s="500">
        <f>AQ106*100/AP106/12</f>
        <v>8.157869879559323</v>
      </c>
      <c r="AR111" s="499" t="s">
        <v>244</v>
      </c>
      <c r="AS111" s="539">
        <f>AS106*100/AR106/12</f>
        <v>6.939060639831319</v>
      </c>
      <c r="AT111" s="540" t="s">
        <v>380</v>
      </c>
      <c r="AU111" s="555">
        <f>AU106*100/AT106/12</f>
        <v>7.7216391645852704</v>
      </c>
      <c r="AV111" s="323" t="s">
        <v>391</v>
      </c>
      <c r="AW111" s="555">
        <f>AW106*100/AV106/12</f>
        <v>8.6932829300708683</v>
      </c>
      <c r="AX111" s="323" t="s">
        <v>392</v>
      </c>
      <c r="AY111" s="555">
        <f>AY106*100/AX106/12</f>
        <v>7.9461460777842445</v>
      </c>
      <c r="AZ111" s="323" t="s">
        <v>393</v>
      </c>
      <c r="BA111" s="555">
        <f>BA106*100/AZ106/12</f>
        <v>7.8192376401477235</v>
      </c>
      <c r="BB111" s="323" t="s">
        <v>412</v>
      </c>
      <c r="BC111" s="73">
        <f>+BC106*100/BB106/12</f>
        <v>7.9141484212354589</v>
      </c>
      <c r="BD111" s="323" t="s">
        <v>413</v>
      </c>
      <c r="BE111" s="286">
        <f>+BE106*100/BD106/12</f>
        <v>14.758539988393922</v>
      </c>
      <c r="BF111" s="265"/>
      <c r="BG111" s="121"/>
      <c r="BH111" s="121"/>
    </row>
    <row r="112" spans="1:68" ht="15">
      <c r="D112" s="1" t="s">
        <v>145</v>
      </c>
      <c r="F112" s="642"/>
      <c r="G112" s="271" t="s">
        <v>240</v>
      </c>
      <c r="H112" s="272" t="s">
        <v>241</v>
      </c>
      <c r="I112" s="648"/>
      <c r="J112" s="93"/>
      <c r="K112" s="270">
        <v>51</v>
      </c>
      <c r="L112" s="273">
        <v>1190591</v>
      </c>
      <c r="M112" s="273"/>
      <c r="N112" s="273">
        <f>+L112</f>
        <v>1190591</v>
      </c>
      <c r="O112" s="273"/>
      <c r="P112" s="273">
        <f>40000+53979+15110.5</f>
        <v>109089.5</v>
      </c>
      <c r="Q112" s="273">
        <f>+N112-P112</f>
        <v>1081501.5</v>
      </c>
      <c r="R112" s="124"/>
      <c r="W112" s="152"/>
      <c r="X112" s="153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5"/>
      <c r="AI112" s="155"/>
      <c r="AJ112" s="156"/>
      <c r="AK112" s="156"/>
    </row>
    <row r="113" spans="1:58" ht="21.75" customHeight="1">
      <c r="D113" s="1" t="s">
        <v>191</v>
      </c>
      <c r="F113" s="274">
        <v>51</v>
      </c>
      <c r="G113" s="395">
        <v>127537.04</v>
      </c>
      <c r="H113" s="276"/>
      <c r="I113" s="277">
        <f>+G113</f>
        <v>127537.04</v>
      </c>
      <c r="J113" s="278"/>
      <c r="K113" s="270">
        <v>53</v>
      </c>
      <c r="L113" s="273">
        <v>47920</v>
      </c>
      <c r="M113" s="273"/>
      <c r="N113" s="273">
        <f>+L113</f>
        <v>47920</v>
      </c>
      <c r="O113" s="273"/>
      <c r="P113" s="273">
        <f>57.8+2048.57</f>
        <v>2106.3700000000003</v>
      </c>
      <c r="Q113" s="273">
        <f>+N113-P113</f>
        <v>45813.63</v>
      </c>
      <c r="R113" s="124"/>
      <c r="W113" s="152"/>
      <c r="X113" s="153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8"/>
      <c r="AI113" s="158"/>
      <c r="AJ113" s="156"/>
      <c r="AK113" s="156"/>
      <c r="AL113" s="126"/>
      <c r="AM113" s="126"/>
      <c r="AR113" s="124"/>
      <c r="AS113" s="124"/>
      <c r="AW113" s="319"/>
    </row>
    <row r="114" spans="1:58" ht="18" customHeight="1">
      <c r="F114" s="274">
        <v>53</v>
      </c>
      <c r="G114" s="259">
        <v>9766.92</v>
      </c>
      <c r="H114" s="276"/>
      <c r="I114" s="277">
        <f>+G114</f>
        <v>9766.92</v>
      </c>
      <c r="J114" s="278"/>
      <c r="K114" s="270">
        <v>57</v>
      </c>
      <c r="L114" s="273">
        <v>3943</v>
      </c>
      <c r="M114" s="273"/>
      <c r="N114" s="273">
        <v>4559</v>
      </c>
      <c r="O114" s="273"/>
      <c r="P114" s="273">
        <v>630.99</v>
      </c>
      <c r="Q114" s="273">
        <f>+N114-P114</f>
        <v>3928.01</v>
      </c>
      <c r="R114" s="124"/>
      <c r="W114" s="152"/>
      <c r="X114" s="159"/>
      <c r="Y114" s="160">
        <f>SUM(Y14:Y100)</f>
        <v>1243070</v>
      </c>
      <c r="Z114" s="160"/>
      <c r="AA114" s="160"/>
      <c r="AB114" s="160"/>
      <c r="AC114" s="160"/>
      <c r="AD114" s="160"/>
      <c r="AE114" s="160"/>
      <c r="AF114" s="160"/>
      <c r="AG114" s="160"/>
      <c r="AH114" s="159"/>
      <c r="AI114" s="159"/>
      <c r="AJ114" s="159"/>
      <c r="AK114" s="159"/>
      <c r="AN114" s="631" t="s">
        <v>190</v>
      </c>
      <c r="AO114" s="631"/>
      <c r="AU114" s="319"/>
    </row>
    <row r="115" spans="1:58" ht="107.25" customHeight="1">
      <c r="F115" s="274">
        <v>57</v>
      </c>
      <c r="G115" s="299">
        <v>1627.08</v>
      </c>
      <c r="H115" s="276"/>
      <c r="I115" s="277">
        <f>+G115</f>
        <v>1627.08</v>
      </c>
      <c r="J115" s="278"/>
      <c r="K115" s="270">
        <v>84</v>
      </c>
      <c r="L115" s="273"/>
      <c r="M115" s="273"/>
      <c r="N115" s="273"/>
      <c r="O115" s="273"/>
      <c r="P115" s="273"/>
      <c r="Q115" s="273"/>
      <c r="R115" s="124"/>
      <c r="W115" s="152"/>
      <c r="X115" s="665"/>
      <c r="Y115" s="665"/>
      <c r="Z115" s="343" t="s">
        <v>261</v>
      </c>
      <c r="AA115" s="296"/>
      <c r="AB115" s="216"/>
      <c r="AC115" s="216"/>
      <c r="AD115" s="216"/>
      <c r="AE115" s="216"/>
      <c r="AF115" s="216"/>
      <c r="AG115" s="216"/>
      <c r="AH115" s="643"/>
      <c r="AI115" s="643"/>
      <c r="AJ115" s="643"/>
      <c r="AK115" s="217"/>
    </row>
    <row r="116" spans="1:58" ht="15">
      <c r="F116" s="274">
        <v>84</v>
      </c>
      <c r="G116" s="275"/>
      <c r="H116" s="276"/>
      <c r="I116" s="277"/>
      <c r="J116" s="278"/>
      <c r="K116" s="270"/>
      <c r="L116" s="273"/>
      <c r="M116" s="273"/>
      <c r="N116" s="279">
        <f>SUM(N112:N115)</f>
        <v>1243070</v>
      </c>
      <c r="O116" s="273"/>
      <c r="P116" s="273"/>
      <c r="Q116" s="280">
        <f>SUM(Q112:Q115)</f>
        <v>1131243.1399999999</v>
      </c>
      <c r="R116" s="124"/>
      <c r="W116" s="152"/>
      <c r="X116" s="195"/>
      <c r="Y116" s="195"/>
      <c r="Z116" s="254"/>
      <c r="AA116" s="254"/>
      <c r="AB116" s="216"/>
      <c r="AC116" s="216"/>
      <c r="AD116" s="216"/>
      <c r="AE116" s="216"/>
      <c r="AF116" s="216"/>
      <c r="AG116" s="216"/>
      <c r="AH116" s="196"/>
      <c r="AI116" s="217"/>
      <c r="AJ116" s="196"/>
      <c r="AK116" s="217"/>
    </row>
    <row r="117" spans="1:58" ht="15">
      <c r="F117" s="274" t="s">
        <v>242</v>
      </c>
      <c r="G117" s="281">
        <f>SUM(G113:G116)</f>
        <v>138931.03999999998</v>
      </c>
      <c r="H117" s="282"/>
      <c r="I117" s="281">
        <f>SUM(I113:I116)</f>
        <v>138931.03999999998</v>
      </c>
      <c r="J117" s="94"/>
      <c r="K117" s="283"/>
      <c r="L117" s="283"/>
      <c r="M117" s="261"/>
      <c r="N117" s="94"/>
      <c r="O117" s="284"/>
      <c r="P117" s="94"/>
      <c r="Q117" s="266"/>
      <c r="R117" s="124"/>
      <c r="W117" s="152"/>
      <c r="X117" s="195"/>
      <c r="Y117" s="195"/>
      <c r="Z117" s="254"/>
      <c r="AA117" s="254"/>
      <c r="AB117" s="216"/>
      <c r="AC117" s="216"/>
      <c r="AD117" s="216"/>
      <c r="AE117" s="216"/>
      <c r="AF117" s="216"/>
      <c r="AG117" s="216"/>
      <c r="AH117" s="196"/>
      <c r="AI117" s="217"/>
      <c r="AJ117" s="196"/>
      <c r="AK117" s="217"/>
    </row>
    <row r="118" spans="1:58" ht="15">
      <c r="Q118" s="418"/>
      <c r="R118" s="124"/>
      <c r="W118" s="152"/>
      <c r="X118" s="195"/>
      <c r="Y118" s="195"/>
      <c r="Z118" s="254"/>
      <c r="AA118" s="254"/>
      <c r="AB118" s="216"/>
      <c r="AC118" s="216"/>
      <c r="AD118" s="216"/>
      <c r="AE118" s="216"/>
      <c r="AF118" s="216"/>
      <c r="AG118" s="216"/>
      <c r="AH118" s="196"/>
      <c r="AI118" s="217"/>
      <c r="AJ118" s="196"/>
      <c r="AK118" s="217"/>
    </row>
    <row r="119" spans="1:58" ht="15">
      <c r="Q119" s="124"/>
      <c r="R119" s="124"/>
      <c r="W119" s="152"/>
      <c r="X119" s="195"/>
      <c r="Y119" s="195"/>
      <c r="Z119" s="254"/>
      <c r="AA119" s="254"/>
      <c r="AB119" s="216"/>
      <c r="AC119" s="216"/>
      <c r="AD119" s="216"/>
      <c r="AE119" s="216"/>
      <c r="AF119" s="216"/>
      <c r="AG119" s="216"/>
      <c r="AH119" s="196"/>
      <c r="AI119" s="217"/>
      <c r="AJ119" s="196"/>
      <c r="AK119" s="217"/>
    </row>
    <row r="120" spans="1:58" ht="15">
      <c r="Q120" s="124"/>
      <c r="R120" s="124"/>
      <c r="W120" s="152"/>
      <c r="X120" s="195"/>
      <c r="Y120" s="195"/>
      <c r="Z120" s="254"/>
      <c r="AA120" s="254"/>
      <c r="AB120" s="216"/>
      <c r="AC120" s="216"/>
      <c r="AD120" s="216"/>
      <c r="AE120" s="216"/>
      <c r="AF120" s="216"/>
      <c r="AG120" s="216"/>
      <c r="AH120" s="196"/>
      <c r="AI120" s="217"/>
      <c r="AJ120" s="196"/>
      <c r="AK120" s="217"/>
    </row>
    <row r="121" spans="1:58" ht="29.25" customHeight="1">
      <c r="I121" s="395"/>
      <c r="Q121" s="124"/>
      <c r="R121" s="124"/>
      <c r="W121" s="152"/>
      <c r="X121" s="195"/>
      <c r="Y121" s="195"/>
      <c r="Z121" s="254"/>
      <c r="AA121" s="254"/>
      <c r="AB121" s="216"/>
      <c r="AC121" s="216"/>
      <c r="AD121" s="216"/>
      <c r="AE121" s="216"/>
      <c r="AF121" s="216"/>
      <c r="AG121" s="216"/>
      <c r="AH121" s="196"/>
      <c r="AI121" s="217"/>
      <c r="AJ121" s="196"/>
      <c r="AK121" s="217"/>
      <c r="AO121" s="631" t="s">
        <v>365</v>
      </c>
      <c r="AP121" s="631"/>
    </row>
    <row r="122" spans="1:58" ht="15">
      <c r="D122" s="1" t="s">
        <v>257</v>
      </c>
      <c r="Q122" s="124"/>
      <c r="R122" s="124"/>
      <c r="V122" s="96"/>
      <c r="W122" s="152"/>
      <c r="X122" s="665"/>
      <c r="Y122" s="665"/>
      <c r="Z122" s="254"/>
      <c r="AA122" s="254"/>
      <c r="AB122" s="216"/>
      <c r="AC122" s="216"/>
      <c r="AD122" s="216"/>
      <c r="AE122" s="216"/>
      <c r="AF122" s="216"/>
      <c r="AG122" s="216"/>
      <c r="AH122" s="657"/>
      <c r="AI122" s="657"/>
      <c r="AJ122" s="657"/>
      <c r="AK122" s="218"/>
      <c r="AN122" s="211" t="s">
        <v>256</v>
      </c>
      <c r="AO122" s="211"/>
      <c r="AP122" s="210"/>
      <c r="AQ122" s="210"/>
      <c r="AR122" s="210"/>
      <c r="AS122" s="210"/>
    </row>
    <row r="123" spans="1:58" ht="15">
      <c r="D123" s="1" t="s">
        <v>146</v>
      </c>
      <c r="Q123" s="124"/>
      <c r="R123" s="124"/>
      <c r="W123" s="152"/>
      <c r="X123" s="658"/>
      <c r="Y123" s="93"/>
      <c r="Z123" s="93"/>
      <c r="AA123" s="93"/>
      <c r="AB123" s="93"/>
      <c r="AC123" s="93"/>
      <c r="AD123" s="93"/>
      <c r="AE123" s="93"/>
      <c r="AF123" s="93"/>
      <c r="AG123" s="93"/>
      <c r="AH123" s="161"/>
      <c r="AI123" s="161"/>
      <c r="AJ123" s="161"/>
      <c r="AK123" s="161"/>
      <c r="AN123" s="42" t="s">
        <v>147</v>
      </c>
    </row>
    <row r="124" spans="1:58" s="46" customFormat="1" ht="15" customHeight="1">
      <c r="A124" s="1"/>
      <c r="B124" s="1"/>
      <c r="C124" s="1"/>
      <c r="D124" s="1"/>
      <c r="E124" s="1"/>
      <c r="F124" s="1"/>
      <c r="G124" s="1"/>
      <c r="H124" s="1"/>
      <c r="I124" s="68"/>
      <c r="J124" s="68"/>
      <c r="K124" s="68"/>
      <c r="L124" s="42"/>
      <c r="M124" s="42"/>
      <c r="N124" s="42"/>
      <c r="O124" s="42"/>
      <c r="P124" s="42"/>
      <c r="Q124" s="124"/>
      <c r="R124" s="124"/>
      <c r="S124" s="42"/>
      <c r="T124" s="44"/>
      <c r="U124" s="43"/>
      <c r="V124" s="1"/>
      <c r="W124" s="152"/>
      <c r="X124" s="658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3"/>
      <c r="AI124" s="163"/>
      <c r="AJ124" s="163"/>
      <c r="AK124" s="163"/>
      <c r="AL124" s="42"/>
      <c r="AM124" s="42"/>
      <c r="AN124" s="42"/>
      <c r="AO124" s="42"/>
      <c r="AP124" s="42"/>
      <c r="AQ124" s="42"/>
      <c r="AR124" s="42"/>
      <c r="AS124" s="4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74"/>
    </row>
    <row r="125" spans="1:58" s="46" customFormat="1" ht="36.75" customHeight="1">
      <c r="A125" s="1"/>
      <c r="B125" s="1"/>
      <c r="C125" s="1" t="s">
        <v>140</v>
      </c>
      <c r="D125" s="51">
        <v>43467</v>
      </c>
      <c r="E125" s="1"/>
      <c r="F125" s="1"/>
      <c r="G125" s="1"/>
      <c r="H125" s="1"/>
      <c r="I125" s="68"/>
      <c r="J125" s="68"/>
      <c r="K125" s="68"/>
      <c r="L125" s="42"/>
      <c r="M125" s="42"/>
      <c r="N125" s="42"/>
      <c r="O125" s="42"/>
      <c r="P125" s="42"/>
      <c r="Q125" s="124"/>
      <c r="R125" s="124"/>
      <c r="S125" s="42"/>
      <c r="T125" s="44"/>
      <c r="U125" s="43"/>
      <c r="V125" s="1"/>
      <c r="W125" s="152"/>
      <c r="X125" s="95"/>
      <c r="Y125" s="94"/>
      <c r="Z125" s="94"/>
      <c r="AA125" s="94"/>
      <c r="AB125" s="94"/>
      <c r="AC125" s="94"/>
      <c r="AD125" s="94"/>
      <c r="AE125" s="94"/>
      <c r="AF125" s="94"/>
      <c r="AG125" s="94"/>
      <c r="AH125" s="163"/>
      <c r="AI125" s="163"/>
      <c r="AJ125" s="163"/>
      <c r="AK125" s="163"/>
      <c r="AL125" s="42"/>
      <c r="AM125" s="42"/>
      <c r="AN125" s="42"/>
      <c r="AO125" s="42"/>
      <c r="AP125" s="42"/>
      <c r="AQ125" s="42"/>
      <c r="AR125" s="42"/>
      <c r="AS125" s="4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74"/>
    </row>
    <row r="126" spans="1:58" s="46" customFormat="1" ht="72.75" customHeight="1">
      <c r="A126" s="1"/>
      <c r="B126" s="1"/>
      <c r="C126" s="1"/>
      <c r="D126" s="1"/>
      <c r="E126" s="1"/>
      <c r="F126" s="121"/>
      <c r="G126" s="1"/>
      <c r="H126" s="1"/>
      <c r="I126" s="68"/>
      <c r="J126" s="68"/>
      <c r="K126" s="68"/>
      <c r="L126" s="42"/>
      <c r="M126" s="42"/>
      <c r="N126" s="42"/>
      <c r="O126" s="42"/>
      <c r="P126" s="42"/>
      <c r="Q126" s="124"/>
      <c r="R126" s="124"/>
      <c r="S126" s="42"/>
      <c r="T126" s="44"/>
      <c r="U126" s="43"/>
      <c r="V126" s="1"/>
      <c r="W126" s="152"/>
      <c r="X126" s="95"/>
      <c r="Y126" s="94"/>
      <c r="Z126" s="94"/>
      <c r="AA126" s="94"/>
      <c r="AB126" s="94"/>
      <c r="AC126" s="94"/>
      <c r="AD126" s="94"/>
      <c r="AE126" s="94"/>
      <c r="AF126" s="94"/>
      <c r="AG126" s="94"/>
      <c r="AH126" s="163"/>
      <c r="AI126" s="163"/>
      <c r="AJ126" s="163"/>
      <c r="AK126" s="163"/>
      <c r="AL126" s="42"/>
      <c r="AM126" s="42"/>
      <c r="AN126" s="173"/>
      <c r="AO126" s="173"/>
      <c r="AP126" s="42"/>
      <c r="AQ126" s="42"/>
      <c r="AR126" s="42"/>
      <c r="AS126" s="4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74"/>
    </row>
    <row r="127" spans="1:58" s="46" customFormat="1" ht="44.25" customHeight="1">
      <c r="A127" s="1"/>
      <c r="B127" s="1"/>
      <c r="C127" s="1" t="s">
        <v>196</v>
      </c>
      <c r="D127" s="1" t="s">
        <v>197</v>
      </c>
      <c r="E127" s="1"/>
      <c r="F127" s="1"/>
      <c r="G127" s="1"/>
      <c r="H127" s="1"/>
      <c r="I127" s="68"/>
      <c r="J127" s="68"/>
      <c r="K127" s="68"/>
      <c r="L127" s="42"/>
      <c r="M127" s="42"/>
      <c r="N127" s="42"/>
      <c r="O127" s="42"/>
      <c r="P127" s="42"/>
      <c r="Q127" s="124"/>
      <c r="R127" s="124"/>
      <c r="S127" s="42"/>
      <c r="T127" s="44"/>
      <c r="U127" s="43"/>
      <c r="V127" s="1"/>
      <c r="W127" s="152"/>
      <c r="X127" s="172"/>
      <c r="Y127" s="94"/>
      <c r="Z127" s="94"/>
      <c r="AA127" s="94"/>
      <c r="AB127" s="94"/>
      <c r="AC127" s="94"/>
      <c r="AD127" s="94"/>
      <c r="AE127" s="94"/>
      <c r="AF127" s="94"/>
      <c r="AG127" s="94"/>
      <c r="AH127" s="163"/>
      <c r="AI127" s="163"/>
      <c r="AJ127" s="163"/>
      <c r="AK127" s="163"/>
      <c r="AL127" s="42"/>
      <c r="AM127" s="42"/>
      <c r="AN127" s="42"/>
      <c r="AO127" s="42"/>
      <c r="AP127" s="42"/>
      <c r="AQ127" s="42"/>
      <c r="AR127" s="42"/>
      <c r="AS127" s="4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74"/>
    </row>
    <row r="128" spans="1:58" s="46" customFormat="1" ht="60">
      <c r="A128" s="205">
        <v>530803</v>
      </c>
      <c r="B128" s="198" t="s">
        <v>152</v>
      </c>
      <c r="C128" s="182">
        <f>Y14+Y15+Y16+Y17+Y18+Y20+Y21+Y22+Y25+Y26+Y23+Y27+Y28+Y29+Y30+Y31+Y32+Y33+Y34+Y35+Y36+Y37+Y38+Y39+Y40+Y41+Y42+Y43+Y44+Y45+Y46+Y47+Y48+Y49+Y54+Y79+Y77+Y84+Y99+Y53</f>
        <v>3117</v>
      </c>
      <c r="D128" s="176">
        <v>3117</v>
      </c>
      <c r="E128" s="105">
        <f>C128-D128</f>
        <v>0</v>
      </c>
      <c r="F128" s="105"/>
      <c r="G128" s="99"/>
      <c r="H128" s="99"/>
      <c r="I128" s="69"/>
      <c r="J128" s="69"/>
      <c r="K128" s="69"/>
      <c r="L128" s="49"/>
      <c r="M128" s="49"/>
      <c r="N128" s="49"/>
      <c r="O128" s="49"/>
      <c r="P128" s="49"/>
      <c r="Q128" s="125"/>
      <c r="R128" s="125"/>
      <c r="S128" s="49"/>
      <c r="X128" s="95"/>
      <c r="Y128" s="94"/>
      <c r="Z128" s="94"/>
      <c r="AA128" s="94"/>
      <c r="AB128" s="94"/>
      <c r="AC128" s="94"/>
      <c r="AD128" s="94"/>
      <c r="AE128" s="94"/>
      <c r="AF128" s="94"/>
      <c r="AG128" s="94"/>
      <c r="AH128" s="164"/>
      <c r="AI128" s="164"/>
      <c r="AJ128" s="163"/>
      <c r="AK128" s="163"/>
      <c r="BF128" s="76"/>
    </row>
    <row r="129" spans="1:58" s="46" customFormat="1" ht="36.75" customHeight="1">
      <c r="A129" s="112">
        <v>530303</v>
      </c>
      <c r="B129" s="110" t="s">
        <v>30</v>
      </c>
      <c r="C129" s="111"/>
      <c r="D129" s="122"/>
      <c r="E129" s="105">
        <f>C129-D129</f>
        <v>0</v>
      </c>
      <c r="F129" s="99"/>
      <c r="G129" s="99"/>
      <c r="H129" s="99"/>
      <c r="I129" s="69"/>
      <c r="J129" s="69"/>
      <c r="K129" s="69"/>
      <c r="L129" s="49"/>
      <c r="M129" s="49"/>
      <c r="N129" s="49"/>
      <c r="O129" s="49"/>
      <c r="P129" s="49"/>
      <c r="Q129" s="125"/>
      <c r="R129" s="125"/>
      <c r="S129" s="49"/>
      <c r="X129" s="95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BF129" s="76"/>
    </row>
    <row r="130" spans="1:58" s="46" customFormat="1" ht="93" customHeight="1">
      <c r="A130" s="200" t="s">
        <v>34</v>
      </c>
      <c r="B130" s="198" t="s">
        <v>35</v>
      </c>
      <c r="C130" s="114">
        <f>(Y50)</f>
        <v>624</v>
      </c>
      <c r="D130" s="174">
        <v>624</v>
      </c>
      <c r="E130" s="105">
        <f t="shared" ref="E130:E174" si="35">C130-D130</f>
        <v>0</v>
      </c>
      <c r="F130" s="99"/>
      <c r="G130" s="99"/>
      <c r="H130" s="99"/>
      <c r="I130" s="69"/>
      <c r="J130" s="69"/>
      <c r="K130" s="69"/>
      <c r="L130" s="49"/>
      <c r="M130" s="49"/>
      <c r="N130" s="49"/>
      <c r="O130" s="49"/>
      <c r="P130" s="49"/>
      <c r="Q130" s="125"/>
      <c r="R130" s="125"/>
      <c r="S130" s="49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99"/>
      <c r="AI130" s="99"/>
      <c r="BF130" s="76"/>
    </row>
    <row r="131" spans="1:58" s="46" customFormat="1" ht="24">
      <c r="A131" s="115">
        <v>530217</v>
      </c>
      <c r="B131" s="110" t="s">
        <v>36</v>
      </c>
      <c r="C131" s="114"/>
      <c r="D131" s="117"/>
      <c r="E131" s="105">
        <f t="shared" si="35"/>
        <v>0</v>
      </c>
      <c r="F131" s="99"/>
      <c r="G131" s="99"/>
      <c r="H131" s="99"/>
      <c r="I131" s="69"/>
      <c r="J131" s="69"/>
      <c r="K131" s="69"/>
      <c r="L131" s="49"/>
      <c r="M131" s="49"/>
      <c r="N131" s="49"/>
      <c r="O131" s="49"/>
      <c r="P131" s="49"/>
      <c r="Q131" s="125"/>
      <c r="R131" s="125"/>
      <c r="S131" s="49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99"/>
      <c r="AI131" s="99"/>
      <c r="BF131" s="76"/>
    </row>
    <row r="132" spans="1:58" s="46" customFormat="1" ht="60">
      <c r="A132" s="115">
        <v>530218</v>
      </c>
      <c r="B132" s="110" t="s">
        <v>38</v>
      </c>
      <c r="C132" s="116"/>
      <c r="D132" s="117"/>
      <c r="E132" s="105">
        <f t="shared" si="35"/>
        <v>0</v>
      </c>
      <c r="F132" s="99"/>
      <c r="G132" s="99"/>
      <c r="H132" s="99"/>
      <c r="I132" s="69"/>
      <c r="J132" s="69"/>
      <c r="K132" s="69"/>
      <c r="L132" s="49"/>
      <c r="M132" s="49"/>
      <c r="N132" s="49"/>
      <c r="O132" s="49"/>
      <c r="P132" s="49"/>
      <c r="Q132" s="125"/>
      <c r="R132" s="125"/>
      <c r="S132" s="49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99"/>
      <c r="AI132" s="99"/>
      <c r="BF132" s="76"/>
    </row>
    <row r="133" spans="1:58" s="46" customFormat="1">
      <c r="A133" s="113" t="s">
        <v>41</v>
      </c>
      <c r="B133" s="110" t="s">
        <v>42</v>
      </c>
      <c r="C133" s="111"/>
      <c r="D133" s="117"/>
      <c r="E133" s="105">
        <f t="shared" si="35"/>
        <v>0</v>
      </c>
      <c r="F133" s="99"/>
      <c r="G133" s="99"/>
      <c r="H133" s="99"/>
      <c r="I133" s="69"/>
      <c r="J133" s="69"/>
      <c r="K133" s="69"/>
      <c r="L133" s="49"/>
      <c r="M133" s="49"/>
      <c r="N133" s="49"/>
      <c r="O133" s="49"/>
      <c r="P133" s="49"/>
      <c r="Q133" s="125"/>
      <c r="R133" s="125"/>
      <c r="S133" s="49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99"/>
      <c r="AI133" s="99"/>
      <c r="BF133" s="76"/>
    </row>
    <row r="134" spans="1:58" s="46" customFormat="1" ht="72">
      <c r="A134" s="203">
        <v>530502</v>
      </c>
      <c r="B134" s="198" t="s">
        <v>43</v>
      </c>
      <c r="C134" s="182">
        <f>Y56+Y60</f>
        <v>3963</v>
      </c>
      <c r="D134" s="174">
        <v>3963</v>
      </c>
      <c r="E134" s="105">
        <f t="shared" si="35"/>
        <v>0</v>
      </c>
      <c r="F134" s="99"/>
      <c r="G134" s="99"/>
      <c r="H134" s="99"/>
      <c r="I134" s="69"/>
      <c r="J134" s="69"/>
      <c r="K134" s="69"/>
      <c r="L134" s="49"/>
      <c r="M134" s="49"/>
      <c r="N134" s="49"/>
      <c r="O134" s="49"/>
      <c r="P134" s="49"/>
      <c r="Q134" s="125"/>
      <c r="R134" s="125"/>
      <c r="S134" s="49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99"/>
      <c r="AI134" s="99"/>
      <c r="BF134" s="76"/>
    </row>
    <row r="135" spans="1:58" s="46" customFormat="1" ht="33.75" customHeight="1">
      <c r="A135" s="200" t="s">
        <v>194</v>
      </c>
      <c r="B135" s="198" t="s">
        <v>193</v>
      </c>
      <c r="C135" s="184">
        <f>Y58</f>
        <v>696</v>
      </c>
      <c r="D135" s="174">
        <v>696</v>
      </c>
      <c r="E135" s="105">
        <f t="shared" si="35"/>
        <v>0</v>
      </c>
      <c r="F135" s="99"/>
      <c r="G135" s="99"/>
      <c r="H135" s="99"/>
      <c r="I135" s="69"/>
      <c r="J135" s="69"/>
      <c r="K135" s="69"/>
      <c r="L135" s="49"/>
      <c r="M135" s="49"/>
      <c r="N135" s="49"/>
      <c r="O135" s="49"/>
      <c r="P135" s="49"/>
      <c r="Q135" s="125"/>
      <c r="R135" s="125"/>
      <c r="S135" s="49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99"/>
      <c r="AI135" s="99"/>
      <c r="BF135" s="76"/>
    </row>
    <row r="136" spans="1:58" s="46" customFormat="1" ht="24">
      <c r="A136" s="202">
        <v>530813</v>
      </c>
      <c r="B136" s="198" t="s">
        <v>62</v>
      </c>
      <c r="C136" s="184">
        <f>Y59</f>
        <v>7081</v>
      </c>
      <c r="D136" s="174">
        <v>7081</v>
      </c>
      <c r="E136" s="105">
        <f t="shared" si="35"/>
        <v>0</v>
      </c>
      <c r="F136" s="99"/>
      <c r="G136" s="99"/>
      <c r="H136" s="99"/>
      <c r="I136" s="69"/>
      <c r="J136" s="69"/>
      <c r="K136" s="69"/>
      <c r="L136" s="49"/>
      <c r="M136" s="49"/>
      <c r="N136" s="49"/>
      <c r="O136" s="49"/>
      <c r="P136" s="49"/>
      <c r="Q136" s="125"/>
      <c r="R136" s="125"/>
      <c r="S136" s="49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99"/>
      <c r="AI136" s="99"/>
      <c r="BF136" s="76"/>
    </row>
    <row r="137" spans="1:58" s="46" customFormat="1" ht="28.5" customHeight="1">
      <c r="A137" s="202">
        <v>570201</v>
      </c>
      <c r="B137" s="198" t="s">
        <v>70</v>
      </c>
      <c r="C137" s="182">
        <f>AH61+AJ61+AL61+AN61+AP61+AR61+AT61+AV61+AX61+AZ61+BB61+BD61+Y76</f>
        <v>3903.5299999999997</v>
      </c>
      <c r="D137" s="174">
        <v>3943</v>
      </c>
      <c r="E137" s="105">
        <f t="shared" si="35"/>
        <v>-39.470000000000255</v>
      </c>
      <c r="F137" s="99"/>
      <c r="G137" s="99"/>
      <c r="H137" s="99"/>
      <c r="I137" s="69"/>
      <c r="J137" s="69"/>
      <c r="K137" s="69"/>
      <c r="L137" s="49"/>
      <c r="M137" s="49"/>
      <c r="N137" s="49"/>
      <c r="O137" s="49"/>
      <c r="P137" s="49"/>
      <c r="Q137" s="125"/>
      <c r="R137" s="125"/>
      <c r="S137" s="49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99"/>
      <c r="AI137" s="99"/>
      <c r="BF137" s="76"/>
    </row>
    <row r="138" spans="1:58" s="46" customFormat="1" ht="120">
      <c r="A138" s="200" t="s">
        <v>112</v>
      </c>
      <c r="B138" s="201" t="s">
        <v>113</v>
      </c>
      <c r="C138" s="186">
        <f>Y62</f>
        <v>230</v>
      </c>
      <c r="D138" s="175">
        <v>230</v>
      </c>
      <c r="E138" s="106">
        <f t="shared" si="35"/>
        <v>0</v>
      </c>
      <c r="F138" s="99"/>
      <c r="G138" s="99"/>
      <c r="H138" s="99"/>
      <c r="I138" s="69"/>
      <c r="J138" s="69"/>
      <c r="K138" s="69"/>
      <c r="L138" s="49"/>
      <c r="M138" s="49"/>
      <c r="N138" s="49"/>
      <c r="O138" s="49"/>
      <c r="P138" s="49"/>
      <c r="Q138" s="125"/>
      <c r="R138" s="125"/>
      <c r="S138" s="49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99"/>
      <c r="AI138" s="99"/>
      <c r="BF138" s="76"/>
    </row>
    <row r="139" spans="1:58" s="46" customFormat="1" ht="48">
      <c r="A139" s="203">
        <v>530405</v>
      </c>
      <c r="B139" s="198" t="s">
        <v>195</v>
      </c>
      <c r="C139" s="184">
        <f>Y64</f>
        <v>3409</v>
      </c>
      <c r="D139" s="174">
        <v>3409</v>
      </c>
      <c r="E139" s="105">
        <f t="shared" si="35"/>
        <v>0</v>
      </c>
      <c r="F139" s="99"/>
      <c r="G139" s="99"/>
      <c r="H139" s="99"/>
      <c r="I139" s="69"/>
      <c r="J139" s="69"/>
      <c r="K139" s="69"/>
      <c r="L139" s="49"/>
      <c r="M139" s="49"/>
      <c r="N139" s="49"/>
      <c r="O139" s="49"/>
      <c r="P139" s="49"/>
      <c r="Q139" s="125"/>
      <c r="R139" s="125"/>
      <c r="S139" s="49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99"/>
      <c r="AI139" s="99"/>
      <c r="BF139" s="76"/>
    </row>
    <row r="140" spans="1:58" s="46" customFormat="1" ht="24">
      <c r="A140" s="179">
        <v>530841</v>
      </c>
      <c r="B140" s="181" t="s">
        <v>62</v>
      </c>
      <c r="C140" s="184"/>
      <c r="D140" s="183"/>
      <c r="E140" s="105">
        <f t="shared" si="35"/>
        <v>0</v>
      </c>
      <c r="F140" s="99"/>
      <c r="G140" s="99"/>
      <c r="H140" s="99"/>
      <c r="I140" s="69"/>
      <c r="J140" s="69"/>
      <c r="K140" s="69"/>
      <c r="L140" s="49"/>
      <c r="M140" s="49"/>
      <c r="N140" s="49"/>
      <c r="O140" s="49"/>
      <c r="P140" s="49"/>
      <c r="Q140" s="125"/>
      <c r="R140" s="125"/>
      <c r="S140" s="49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99"/>
      <c r="AI140" s="99"/>
      <c r="BF140" s="76"/>
    </row>
    <row r="141" spans="1:58" s="46" customFormat="1" ht="21" customHeight="1">
      <c r="A141" s="203">
        <v>530804</v>
      </c>
      <c r="B141" s="198" t="s">
        <v>52</v>
      </c>
      <c r="C141" s="184">
        <f>Y66</f>
        <v>2418</v>
      </c>
      <c r="D141" s="174">
        <v>2418</v>
      </c>
      <c r="E141" s="105">
        <f t="shared" si="35"/>
        <v>0</v>
      </c>
      <c r="F141" s="99"/>
      <c r="G141" s="99"/>
      <c r="H141" s="99"/>
      <c r="I141" s="69"/>
      <c r="J141" s="69"/>
      <c r="K141" s="69"/>
      <c r="L141" s="49"/>
      <c r="M141" s="49"/>
      <c r="N141" s="49"/>
      <c r="O141" s="49"/>
      <c r="P141" s="49"/>
      <c r="Q141" s="125"/>
      <c r="R141" s="125"/>
      <c r="S141" s="49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99"/>
      <c r="AI141" s="99"/>
      <c r="BF141" s="76"/>
    </row>
    <row r="142" spans="1:58" s="46" customFormat="1" ht="24">
      <c r="A142" s="202">
        <v>530805</v>
      </c>
      <c r="B142" s="198" t="s">
        <v>60</v>
      </c>
      <c r="C142" s="184">
        <f>Y67</f>
        <v>837</v>
      </c>
      <c r="D142" s="174">
        <v>837</v>
      </c>
      <c r="E142" s="105">
        <f t="shared" si="35"/>
        <v>0</v>
      </c>
      <c r="F142" s="99"/>
      <c r="G142" s="99"/>
      <c r="H142" s="99"/>
      <c r="I142" s="69"/>
      <c r="J142" s="69"/>
      <c r="K142" s="69"/>
      <c r="L142" s="49"/>
      <c r="M142" s="49"/>
      <c r="N142" s="49"/>
      <c r="O142" s="49"/>
      <c r="P142" s="49"/>
      <c r="Q142" s="125"/>
      <c r="R142" s="125"/>
      <c r="S142" s="49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99"/>
      <c r="AI142" s="99"/>
      <c r="BF142" s="76"/>
    </row>
    <row r="143" spans="1:58" s="46" customFormat="1" ht="21" customHeight="1">
      <c r="A143" s="202">
        <v>530403</v>
      </c>
      <c r="B143" s="198" t="s">
        <v>64</v>
      </c>
      <c r="C143" s="184">
        <f>Y68</f>
        <v>100</v>
      </c>
      <c r="D143" s="174">
        <v>100</v>
      </c>
      <c r="E143" s="105">
        <f t="shared" si="35"/>
        <v>0</v>
      </c>
      <c r="F143" s="99"/>
      <c r="G143" s="99"/>
      <c r="H143" s="99"/>
      <c r="I143" s="69"/>
      <c r="J143" s="69"/>
      <c r="K143" s="69"/>
      <c r="L143" s="49"/>
      <c r="M143" s="49"/>
      <c r="N143" s="49"/>
      <c r="O143" s="49"/>
      <c r="P143" s="49"/>
      <c r="Q143" s="125"/>
      <c r="R143" s="125"/>
      <c r="S143" s="49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99"/>
      <c r="AI143" s="99"/>
      <c r="BF143" s="76"/>
    </row>
    <row r="144" spans="1:58" s="46" customFormat="1" ht="23.25" customHeight="1">
      <c r="A144" s="179">
        <v>840103</v>
      </c>
      <c r="B144" s="181" t="s">
        <v>64</v>
      </c>
      <c r="C144" s="184"/>
      <c r="D144" s="183"/>
      <c r="E144" s="105">
        <f t="shared" si="35"/>
        <v>0</v>
      </c>
      <c r="F144" s="99"/>
      <c r="G144" s="99"/>
      <c r="H144" s="99"/>
      <c r="I144" s="69"/>
      <c r="J144" s="69"/>
      <c r="K144" s="69"/>
      <c r="L144" s="49"/>
      <c r="M144" s="49"/>
      <c r="N144" s="49"/>
      <c r="O144" s="49"/>
      <c r="P144" s="49"/>
      <c r="Q144" s="125"/>
      <c r="R144" s="125"/>
      <c r="S144" s="49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99"/>
      <c r="AI144" s="99"/>
      <c r="BF144" s="76"/>
    </row>
    <row r="145" spans="1:58" s="46" customFormat="1" ht="24">
      <c r="A145" s="179">
        <v>840104</v>
      </c>
      <c r="B145" s="181" t="s">
        <v>71</v>
      </c>
      <c r="C145" s="184"/>
      <c r="D145" s="183"/>
      <c r="E145" s="105">
        <f t="shared" si="35"/>
        <v>0</v>
      </c>
      <c r="F145" s="99"/>
      <c r="G145" s="99"/>
      <c r="H145" s="99"/>
      <c r="I145" s="69"/>
      <c r="J145" s="69"/>
      <c r="K145" s="69"/>
      <c r="L145" s="49"/>
      <c r="M145" s="49"/>
      <c r="N145" s="49"/>
      <c r="O145" s="49"/>
      <c r="P145" s="49"/>
      <c r="Q145" s="125"/>
      <c r="R145" s="125"/>
      <c r="S145" s="49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99"/>
      <c r="AI145" s="99"/>
      <c r="BF145" s="76"/>
    </row>
    <row r="146" spans="1:58" s="46" customFormat="1" ht="60">
      <c r="A146" s="204">
        <v>530704</v>
      </c>
      <c r="B146" s="198" t="s">
        <v>120</v>
      </c>
      <c r="C146" s="184">
        <f>Y78</f>
        <v>548</v>
      </c>
      <c r="D146" s="174">
        <v>548</v>
      </c>
      <c r="E146" s="105">
        <f t="shared" si="35"/>
        <v>0</v>
      </c>
      <c r="F146" s="99"/>
      <c r="G146" s="99"/>
      <c r="H146" s="99"/>
      <c r="I146" s="69"/>
      <c r="J146" s="69"/>
      <c r="K146" s="69"/>
      <c r="L146" s="49"/>
      <c r="M146" s="49"/>
      <c r="N146" s="49"/>
      <c r="O146" s="49"/>
      <c r="P146" s="49"/>
      <c r="Q146" s="125"/>
      <c r="R146" s="125"/>
      <c r="S146" s="49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99"/>
      <c r="AI146" s="99"/>
      <c r="BF146" s="76"/>
    </row>
    <row r="147" spans="1:58" s="46" customFormat="1" ht="36">
      <c r="A147" s="179">
        <v>840107</v>
      </c>
      <c r="B147" s="181" t="s">
        <v>73</v>
      </c>
      <c r="C147" s="184"/>
      <c r="D147" s="183"/>
      <c r="E147" s="105">
        <f t="shared" si="35"/>
        <v>0</v>
      </c>
      <c r="F147" s="99"/>
      <c r="G147" s="99"/>
      <c r="H147" s="99"/>
      <c r="I147" s="69"/>
      <c r="J147" s="69"/>
      <c r="K147" s="69"/>
      <c r="L147" s="49"/>
      <c r="M147" s="49"/>
      <c r="N147" s="49"/>
      <c r="O147" s="49"/>
      <c r="P147" s="49"/>
      <c r="Q147" s="125"/>
      <c r="R147" s="125"/>
      <c r="S147" s="49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99"/>
      <c r="AI147" s="99"/>
      <c r="BF147" s="76"/>
    </row>
    <row r="148" spans="1:58" s="46" customFormat="1" ht="24">
      <c r="A148" s="180">
        <v>530603</v>
      </c>
      <c r="B148" s="181" t="s">
        <v>54</v>
      </c>
      <c r="C148" s="188"/>
      <c r="D148" s="183"/>
      <c r="E148" s="105">
        <f t="shared" si="35"/>
        <v>0</v>
      </c>
      <c r="F148" s="99"/>
      <c r="G148" s="99"/>
      <c r="H148" s="99"/>
      <c r="I148" s="69"/>
      <c r="J148" s="69"/>
      <c r="K148" s="69"/>
      <c r="L148" s="49"/>
      <c r="M148" s="49"/>
      <c r="N148" s="49"/>
      <c r="O148" s="49"/>
      <c r="P148" s="49"/>
      <c r="Q148" s="125"/>
      <c r="R148" s="125"/>
      <c r="S148" s="49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99"/>
      <c r="AI148" s="99"/>
      <c r="BF148" s="76"/>
    </row>
    <row r="149" spans="1:58" s="46" customFormat="1" ht="24">
      <c r="A149" s="143" t="s">
        <v>56</v>
      </c>
      <c r="B149" s="181" t="s">
        <v>57</v>
      </c>
      <c r="C149" s="188"/>
      <c r="D149" s="183"/>
      <c r="E149" s="105">
        <f t="shared" si="35"/>
        <v>0</v>
      </c>
      <c r="F149" s="99"/>
      <c r="G149" s="99"/>
      <c r="H149" s="99"/>
      <c r="I149" s="69"/>
      <c r="J149" s="69"/>
      <c r="K149" s="69"/>
      <c r="L149" s="49"/>
      <c r="M149" s="49"/>
      <c r="N149" s="49"/>
      <c r="O149" s="49"/>
      <c r="P149" s="49"/>
      <c r="Q149" s="125"/>
      <c r="R149" s="125"/>
      <c r="S149" s="49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99"/>
      <c r="AI149" s="99"/>
      <c r="BF149" s="76"/>
    </row>
    <row r="150" spans="1:58" s="46" customFormat="1" ht="24">
      <c r="A150" s="197">
        <v>510105</v>
      </c>
      <c r="B150" s="198" t="s">
        <v>77</v>
      </c>
      <c r="C150" s="184">
        <f>Y87</f>
        <v>845820</v>
      </c>
      <c r="D150" s="174">
        <v>845820</v>
      </c>
      <c r="E150" s="105">
        <f t="shared" ref="E150:E161" si="36">C150-D150</f>
        <v>0</v>
      </c>
      <c r="F150" s="99"/>
      <c r="G150" s="99"/>
      <c r="H150" s="99"/>
      <c r="I150" s="69"/>
      <c r="J150" s="69"/>
      <c r="K150" s="69"/>
      <c r="L150" s="49"/>
      <c r="M150" s="49"/>
      <c r="N150" s="49"/>
      <c r="O150" s="49"/>
      <c r="P150" s="49"/>
      <c r="Q150" s="125"/>
      <c r="R150" s="125"/>
      <c r="S150" s="49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99"/>
      <c r="AI150" s="99"/>
      <c r="BF150" s="76"/>
    </row>
    <row r="151" spans="1:58" s="46" customFormat="1" ht="24">
      <c r="A151" s="197">
        <v>510106</v>
      </c>
      <c r="B151" s="198" t="s">
        <v>78</v>
      </c>
      <c r="C151" s="184">
        <f>Y88</f>
        <v>46272</v>
      </c>
      <c r="D151" s="174">
        <v>46272</v>
      </c>
      <c r="E151" s="105">
        <f t="shared" si="36"/>
        <v>0</v>
      </c>
      <c r="F151" s="99"/>
      <c r="G151" s="99"/>
      <c r="H151" s="99"/>
      <c r="I151" s="69"/>
      <c r="J151" s="69"/>
      <c r="K151" s="69"/>
      <c r="L151" s="49"/>
      <c r="M151" s="49"/>
      <c r="N151" s="49"/>
      <c r="O151" s="49"/>
      <c r="P151" s="49"/>
      <c r="Q151" s="125"/>
      <c r="R151" s="125"/>
      <c r="S151" s="49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99"/>
      <c r="AI151" s="99"/>
      <c r="BF151" s="76"/>
    </row>
    <row r="152" spans="1:58" s="46" customFormat="1" ht="24">
      <c r="A152" s="197">
        <v>510203</v>
      </c>
      <c r="B152" s="198" t="s">
        <v>79</v>
      </c>
      <c r="C152" s="184">
        <f>Y89</f>
        <v>76079</v>
      </c>
      <c r="D152" s="174">
        <v>76079</v>
      </c>
      <c r="E152" s="105">
        <f t="shared" si="36"/>
        <v>0</v>
      </c>
      <c r="F152" s="99"/>
      <c r="G152" s="99"/>
      <c r="H152" s="99"/>
      <c r="I152" s="69"/>
      <c r="J152" s="69"/>
      <c r="K152" s="69"/>
      <c r="L152" s="49"/>
      <c r="M152" s="49"/>
      <c r="N152" s="49"/>
      <c r="O152" s="49"/>
      <c r="P152" s="49"/>
      <c r="Q152" s="125"/>
      <c r="R152" s="125"/>
      <c r="S152" s="49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99"/>
      <c r="AI152" s="99"/>
      <c r="BF152" s="76"/>
    </row>
    <row r="153" spans="1:58" s="46" customFormat="1" ht="24">
      <c r="A153" s="197">
        <v>510204</v>
      </c>
      <c r="B153" s="198" t="s">
        <v>80</v>
      </c>
      <c r="C153" s="184">
        <f>Y90</f>
        <v>31520</v>
      </c>
      <c r="D153" s="174">
        <v>31520</v>
      </c>
      <c r="E153" s="105">
        <f t="shared" si="36"/>
        <v>0</v>
      </c>
      <c r="F153" s="99"/>
      <c r="G153" s="99"/>
      <c r="H153" s="99"/>
      <c r="I153" s="69"/>
      <c r="J153" s="69"/>
      <c r="K153" s="69"/>
      <c r="L153" s="49"/>
      <c r="M153" s="49"/>
      <c r="N153" s="49"/>
      <c r="O153" s="49"/>
      <c r="P153" s="49"/>
      <c r="Q153" s="125"/>
      <c r="R153" s="125"/>
      <c r="S153" s="49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99"/>
      <c r="AI153" s="99"/>
      <c r="BF153" s="76"/>
    </row>
    <row r="154" spans="1:58" s="46" customFormat="1" ht="15">
      <c r="A154" s="189">
        <v>510507</v>
      </c>
      <c r="B154" s="181" t="s">
        <v>81</v>
      </c>
      <c r="C154" s="184"/>
      <c r="D154" s="183"/>
      <c r="E154" s="105">
        <f t="shared" si="36"/>
        <v>0</v>
      </c>
      <c r="F154" s="99"/>
      <c r="G154" s="99"/>
      <c r="H154" s="99"/>
      <c r="I154" s="69"/>
      <c r="J154" s="69"/>
      <c r="K154" s="69"/>
      <c r="L154" s="49"/>
      <c r="M154" s="49"/>
      <c r="N154" s="49"/>
      <c r="O154" s="49"/>
      <c r="P154" s="49"/>
      <c r="Q154" s="125"/>
      <c r="R154" s="125"/>
      <c r="S154" s="49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99"/>
      <c r="AI154" s="99"/>
      <c r="BF154" s="76"/>
    </row>
    <row r="155" spans="1:58" s="46" customFormat="1" ht="36">
      <c r="A155" s="189">
        <v>510509</v>
      </c>
      <c r="B155" s="181" t="s">
        <v>82</v>
      </c>
      <c r="C155" s="188"/>
      <c r="D155" s="183"/>
      <c r="E155" s="105">
        <f t="shared" si="36"/>
        <v>0</v>
      </c>
      <c r="F155" s="99"/>
      <c r="G155" s="99"/>
      <c r="H155" s="99"/>
      <c r="I155" s="69"/>
      <c r="J155" s="69"/>
      <c r="K155" s="69"/>
      <c r="L155" s="49"/>
      <c r="M155" s="49"/>
      <c r="N155" s="49"/>
      <c r="O155" s="49"/>
      <c r="P155" s="49"/>
      <c r="Q155" s="125"/>
      <c r="R155" s="125"/>
      <c r="S155" s="49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99"/>
      <c r="AI155" s="99"/>
      <c r="BF155" s="76"/>
    </row>
    <row r="156" spans="1:58" s="46" customFormat="1" ht="36">
      <c r="A156" s="197">
        <v>510510</v>
      </c>
      <c r="B156" s="198" t="s">
        <v>83</v>
      </c>
      <c r="C156" s="184">
        <f>Y93</f>
        <v>20852</v>
      </c>
      <c r="D156" s="174">
        <v>20852</v>
      </c>
      <c r="E156" s="105">
        <f t="shared" si="36"/>
        <v>0</v>
      </c>
      <c r="F156" s="99"/>
      <c r="G156" s="99"/>
      <c r="H156" s="99"/>
      <c r="I156" s="69"/>
      <c r="J156" s="69"/>
      <c r="K156" s="69"/>
      <c r="L156" s="49"/>
      <c r="M156" s="49"/>
      <c r="N156" s="49"/>
      <c r="O156" s="49"/>
      <c r="P156" s="49"/>
      <c r="Q156" s="125"/>
      <c r="R156" s="125"/>
      <c r="S156" s="49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99"/>
      <c r="AI156" s="99"/>
      <c r="BF156" s="76"/>
    </row>
    <row r="157" spans="1:58" s="46" customFormat="1" ht="15">
      <c r="A157" s="189">
        <v>510512</v>
      </c>
      <c r="B157" s="181" t="s">
        <v>84</v>
      </c>
      <c r="C157" s="184">
        <f>Y94</f>
        <v>4713</v>
      </c>
      <c r="D157" s="183">
        <v>4713</v>
      </c>
      <c r="E157" s="105">
        <f t="shared" si="36"/>
        <v>0</v>
      </c>
      <c r="F157" s="99"/>
      <c r="G157" s="99"/>
      <c r="H157" s="99"/>
      <c r="I157" s="69"/>
      <c r="J157" s="69"/>
      <c r="K157" s="69"/>
      <c r="L157" s="49"/>
      <c r="M157" s="49"/>
      <c r="N157" s="49"/>
      <c r="O157" s="49"/>
      <c r="P157" s="49"/>
      <c r="Q157" s="125"/>
      <c r="R157" s="125"/>
      <c r="S157" s="49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99"/>
      <c r="AI157" s="99"/>
      <c r="BF157" s="76"/>
    </row>
    <row r="158" spans="1:58" s="46" customFormat="1" ht="15">
      <c r="A158" s="189">
        <v>510513</v>
      </c>
      <c r="B158" s="181" t="s">
        <v>85</v>
      </c>
      <c r="C158" s="184"/>
      <c r="D158" s="183"/>
      <c r="E158" s="105">
        <f t="shared" si="36"/>
        <v>0</v>
      </c>
      <c r="F158" s="99"/>
      <c r="G158" s="99"/>
      <c r="H158" s="99"/>
      <c r="I158" s="69"/>
      <c r="J158" s="69"/>
      <c r="K158" s="69"/>
      <c r="L158" s="49"/>
      <c r="M158" s="49"/>
      <c r="N158" s="49"/>
      <c r="O158" s="49"/>
      <c r="P158" s="49"/>
      <c r="Q158" s="125"/>
      <c r="R158" s="125"/>
      <c r="S158" s="49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99"/>
      <c r="AI158" s="99"/>
      <c r="BF158" s="76"/>
    </row>
    <row r="159" spans="1:58" s="46" customFormat="1" ht="15">
      <c r="A159" s="197">
        <v>510601</v>
      </c>
      <c r="B159" s="198" t="s">
        <v>86</v>
      </c>
      <c r="C159" s="184">
        <f>Y96</f>
        <v>89256</v>
      </c>
      <c r="D159" s="174">
        <v>89256</v>
      </c>
      <c r="E159" s="105">
        <f t="shared" si="36"/>
        <v>0</v>
      </c>
      <c r="F159" s="99"/>
      <c r="G159" s="99"/>
      <c r="H159" s="99"/>
      <c r="I159" s="69"/>
      <c r="J159" s="69"/>
      <c r="K159" s="69"/>
      <c r="L159" s="49"/>
      <c r="M159" s="49"/>
      <c r="N159" s="49"/>
      <c r="O159" s="49"/>
      <c r="P159" s="49"/>
      <c r="Q159" s="125"/>
      <c r="R159" s="125"/>
      <c r="S159" s="49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99"/>
      <c r="AI159" s="99"/>
      <c r="BF159" s="76"/>
    </row>
    <row r="160" spans="1:58" s="46" customFormat="1">
      <c r="A160" s="199">
        <v>510602</v>
      </c>
      <c r="B160" s="198" t="s">
        <v>87</v>
      </c>
      <c r="C160" s="184">
        <f>Y97</f>
        <v>76079</v>
      </c>
      <c r="D160" s="174">
        <v>76079</v>
      </c>
      <c r="E160" s="105">
        <f t="shared" si="36"/>
        <v>0</v>
      </c>
      <c r="F160" s="99"/>
      <c r="G160" s="99"/>
      <c r="H160" s="99"/>
      <c r="I160" s="69"/>
      <c r="J160" s="69"/>
      <c r="K160" s="69"/>
      <c r="L160" s="49"/>
      <c r="M160" s="49"/>
      <c r="N160" s="49"/>
      <c r="O160" s="49"/>
      <c r="P160" s="49"/>
      <c r="Q160" s="125"/>
      <c r="R160" s="125"/>
      <c r="S160" s="49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99"/>
      <c r="AI160" s="99"/>
      <c r="BF160" s="76"/>
    </row>
    <row r="161" spans="1:58" s="46" customFormat="1" ht="60">
      <c r="A161" s="41">
        <v>510707</v>
      </c>
      <c r="B161" s="181" t="s">
        <v>135</v>
      </c>
      <c r="C161" s="186">
        <f>Y98</f>
        <v>0</v>
      </c>
      <c r="D161" s="187"/>
      <c r="E161" s="106">
        <f t="shared" si="36"/>
        <v>0</v>
      </c>
      <c r="F161" s="99"/>
      <c r="G161" s="99"/>
      <c r="H161" s="99"/>
      <c r="I161" s="69"/>
      <c r="J161" s="69"/>
      <c r="K161" s="69"/>
      <c r="L161" s="49"/>
      <c r="M161" s="49"/>
      <c r="N161" s="49"/>
      <c r="O161" s="49"/>
      <c r="P161" s="49"/>
      <c r="Q161" s="125"/>
      <c r="R161" s="125"/>
      <c r="S161" s="49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99"/>
      <c r="AI161" s="99"/>
      <c r="BF161" s="76"/>
    </row>
    <row r="162" spans="1:58" s="46" customFormat="1" ht="69" customHeight="1">
      <c r="A162" s="200" t="s">
        <v>93</v>
      </c>
      <c r="B162" s="201" t="s">
        <v>94</v>
      </c>
      <c r="C162" s="186">
        <f>Y71</f>
        <v>2642</v>
      </c>
      <c r="D162" s="174">
        <v>2642</v>
      </c>
      <c r="E162" s="105">
        <f t="shared" si="35"/>
        <v>0</v>
      </c>
      <c r="F162" s="99"/>
      <c r="G162" s="99"/>
      <c r="H162" s="99"/>
      <c r="I162" s="69"/>
      <c r="J162" s="69"/>
      <c r="K162" s="69"/>
      <c r="L162" s="49"/>
      <c r="M162" s="49"/>
      <c r="N162" s="49"/>
      <c r="O162" s="49"/>
      <c r="P162" s="49"/>
      <c r="Q162" s="125"/>
      <c r="R162" s="125"/>
      <c r="S162" s="49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99"/>
      <c r="AI162" s="99"/>
      <c r="BF162" s="76"/>
    </row>
    <row r="163" spans="1:58" s="46" customFormat="1" ht="28.5" customHeight="1">
      <c r="A163" s="200" t="s">
        <v>95</v>
      </c>
      <c r="B163" s="201" t="s">
        <v>96</v>
      </c>
      <c r="C163" s="184">
        <f>Y72</f>
        <v>3410</v>
      </c>
      <c r="D163" s="174">
        <v>3410</v>
      </c>
      <c r="E163" s="105">
        <f t="shared" si="35"/>
        <v>0</v>
      </c>
      <c r="F163" s="99"/>
      <c r="G163" s="99"/>
      <c r="H163" s="99"/>
      <c r="I163" s="69"/>
      <c r="J163" s="69"/>
      <c r="K163" s="69"/>
      <c r="L163" s="49"/>
      <c r="M163" s="49"/>
      <c r="N163" s="49"/>
      <c r="O163" s="49"/>
      <c r="P163" s="49"/>
      <c r="Q163" s="125"/>
      <c r="R163" s="125"/>
      <c r="S163" s="49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99"/>
      <c r="AI163" s="99"/>
      <c r="BF163" s="76"/>
    </row>
    <row r="164" spans="1:58" s="46" customFormat="1" ht="24">
      <c r="A164" s="200" t="s">
        <v>97</v>
      </c>
      <c r="B164" s="201" t="s">
        <v>98</v>
      </c>
      <c r="C164" s="184">
        <f>Y73</f>
        <v>18385</v>
      </c>
      <c r="D164" s="174">
        <v>18385</v>
      </c>
      <c r="E164" s="105">
        <f t="shared" si="35"/>
        <v>0</v>
      </c>
      <c r="F164" s="99"/>
      <c r="G164" s="99"/>
      <c r="H164" s="99"/>
      <c r="I164" s="69"/>
      <c r="J164" s="69"/>
      <c r="K164" s="69"/>
      <c r="L164" s="49"/>
      <c r="M164" s="49"/>
      <c r="N164" s="49"/>
      <c r="O164" s="49"/>
      <c r="P164" s="49"/>
      <c r="Q164" s="125"/>
      <c r="R164" s="125"/>
      <c r="S164" s="49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99"/>
      <c r="AI164" s="99"/>
      <c r="BF164" s="76"/>
    </row>
    <row r="165" spans="1:58" s="46" customFormat="1" ht="26.25" customHeight="1">
      <c r="A165" s="200" t="s">
        <v>99</v>
      </c>
      <c r="B165" s="201" t="s">
        <v>100</v>
      </c>
      <c r="C165" s="184">
        <f>Y74</f>
        <v>236</v>
      </c>
      <c r="D165" s="174">
        <v>236</v>
      </c>
      <c r="E165" s="105">
        <f t="shared" si="35"/>
        <v>0</v>
      </c>
      <c r="F165" s="99"/>
      <c r="G165" s="99"/>
      <c r="H165" s="99"/>
      <c r="I165" s="69"/>
      <c r="J165" s="69"/>
      <c r="K165" s="69"/>
      <c r="L165" s="49"/>
      <c r="M165" s="49"/>
      <c r="N165" s="49"/>
      <c r="O165" s="49"/>
      <c r="P165" s="49"/>
      <c r="Q165" s="125"/>
      <c r="R165" s="125"/>
      <c r="S165" s="49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99"/>
      <c r="AI165" s="99"/>
      <c r="BF165" s="76"/>
    </row>
    <row r="166" spans="1:58" s="46" customFormat="1" ht="36">
      <c r="A166" s="143" t="s">
        <v>150</v>
      </c>
      <c r="B166" s="185" t="s">
        <v>174</v>
      </c>
      <c r="C166" s="184"/>
      <c r="D166" s="183"/>
      <c r="E166" s="105">
        <f t="shared" si="35"/>
        <v>0</v>
      </c>
      <c r="F166" s="99"/>
      <c r="G166" s="99"/>
      <c r="H166" s="99"/>
      <c r="I166" s="69"/>
      <c r="J166" s="69"/>
      <c r="K166" s="69"/>
      <c r="L166" s="49"/>
      <c r="M166" s="49"/>
      <c r="N166" s="49"/>
      <c r="O166" s="49"/>
      <c r="P166" s="49"/>
      <c r="Q166" s="125"/>
      <c r="R166" s="125"/>
      <c r="S166" s="49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99"/>
      <c r="AI166" s="99"/>
      <c r="BF166" s="76"/>
    </row>
    <row r="167" spans="1:58" s="46" customFormat="1" ht="72">
      <c r="A167" s="200" t="s">
        <v>103</v>
      </c>
      <c r="B167" s="206" t="s">
        <v>104</v>
      </c>
      <c r="C167" s="184">
        <f>Y75</f>
        <v>616</v>
      </c>
      <c r="D167" s="174">
        <v>616</v>
      </c>
      <c r="E167" s="105">
        <f t="shared" si="35"/>
        <v>0</v>
      </c>
      <c r="F167" s="99"/>
      <c r="G167" s="99"/>
      <c r="H167" s="99"/>
      <c r="I167" s="69"/>
      <c r="J167" s="69"/>
      <c r="K167" s="69"/>
      <c r="L167" s="49"/>
      <c r="M167" s="49"/>
      <c r="N167" s="49"/>
      <c r="O167" s="49"/>
      <c r="P167" s="49"/>
      <c r="Q167" s="125"/>
      <c r="R167" s="125"/>
      <c r="S167" s="49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99"/>
      <c r="AI167" s="99"/>
      <c r="BF167" s="76"/>
    </row>
    <row r="168" spans="1:58" s="46" customFormat="1" ht="24">
      <c r="A168" s="143" t="s">
        <v>153</v>
      </c>
      <c r="B168" s="190" t="s">
        <v>154</v>
      </c>
      <c r="C168" s="184"/>
      <c r="D168" s="183"/>
      <c r="E168" s="105">
        <f t="shared" si="35"/>
        <v>0</v>
      </c>
      <c r="F168" s="99"/>
      <c r="G168" s="99"/>
      <c r="H168" s="99"/>
      <c r="I168" s="69"/>
      <c r="J168" s="69"/>
      <c r="K168" s="69"/>
      <c r="L168" s="49"/>
      <c r="M168" s="49"/>
      <c r="N168" s="49"/>
      <c r="O168" s="49"/>
      <c r="P168" s="49"/>
      <c r="Q168" s="125"/>
      <c r="R168" s="125"/>
      <c r="S168" s="49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99"/>
      <c r="AI168" s="99"/>
      <c r="BF168" s="76"/>
    </row>
    <row r="169" spans="1:58" s="46" customFormat="1" ht="26.25" customHeight="1">
      <c r="A169" s="143" t="s">
        <v>155</v>
      </c>
      <c r="B169" s="208" t="s">
        <v>156</v>
      </c>
      <c r="C169" s="184"/>
      <c r="D169" s="183"/>
      <c r="E169" s="105">
        <f t="shared" si="35"/>
        <v>0</v>
      </c>
      <c r="F169" s="99"/>
      <c r="G169" s="99"/>
      <c r="H169" s="99"/>
      <c r="I169" s="69"/>
      <c r="J169" s="69"/>
      <c r="K169" s="69"/>
      <c r="L169" s="49"/>
      <c r="M169" s="49"/>
      <c r="N169" s="49"/>
      <c r="O169" s="49"/>
      <c r="P169" s="49"/>
      <c r="Q169" s="49"/>
      <c r="R169" s="49"/>
      <c r="S169" s="49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99"/>
      <c r="AI169" s="99"/>
      <c r="BF169" s="76"/>
    </row>
    <row r="170" spans="1:58" s="46" customFormat="1" ht="80.25" customHeight="1" thickBot="1">
      <c r="A170" s="143" t="s">
        <v>364</v>
      </c>
      <c r="B170" s="466" t="s">
        <v>359</v>
      </c>
      <c r="C170" s="184">
        <f>Y100</f>
        <v>224</v>
      </c>
      <c r="D170" s="183">
        <v>224</v>
      </c>
      <c r="E170" s="105"/>
      <c r="F170" s="99"/>
      <c r="G170" s="99"/>
      <c r="H170" s="99"/>
      <c r="I170" s="69"/>
      <c r="J170" s="69"/>
      <c r="K170" s="69"/>
      <c r="L170" s="49"/>
      <c r="M170" s="49"/>
      <c r="N170" s="49"/>
      <c r="O170" s="49"/>
      <c r="P170" s="49"/>
      <c r="Q170" s="49"/>
      <c r="R170" s="49"/>
      <c r="S170" s="49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99"/>
      <c r="AI170" s="99"/>
      <c r="BF170" s="76"/>
    </row>
    <row r="171" spans="1:58" s="46" customFormat="1" ht="48">
      <c r="A171" s="143" t="s">
        <v>157</v>
      </c>
      <c r="B171" s="190" t="s">
        <v>73</v>
      </c>
      <c r="C171" s="184"/>
      <c r="D171" s="183"/>
      <c r="E171" s="105">
        <f t="shared" si="35"/>
        <v>0</v>
      </c>
      <c r="F171" s="99"/>
      <c r="G171" s="99"/>
      <c r="H171" s="99"/>
      <c r="I171" s="69"/>
      <c r="J171" s="69"/>
      <c r="K171" s="69"/>
      <c r="L171" s="49"/>
      <c r="M171" s="49"/>
      <c r="N171" s="49"/>
      <c r="O171" s="49"/>
      <c r="P171" s="49"/>
      <c r="Q171" s="49"/>
      <c r="R171" s="49"/>
      <c r="S171" s="49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99"/>
      <c r="AI171" s="99"/>
      <c r="AN171" s="46" t="e">
        <f>+A</f>
        <v>#NAME?</v>
      </c>
      <c r="BF171" s="76"/>
    </row>
    <row r="172" spans="1:58" s="46" customFormat="1" ht="24">
      <c r="A172" s="143" t="s">
        <v>158</v>
      </c>
      <c r="B172" s="208" t="s">
        <v>159</v>
      </c>
      <c r="C172" s="184"/>
      <c r="D172" s="183"/>
      <c r="E172" s="105">
        <f t="shared" si="35"/>
        <v>0</v>
      </c>
      <c r="F172" s="99"/>
      <c r="G172" s="99"/>
      <c r="H172" s="99"/>
      <c r="I172" s="69"/>
      <c r="J172" s="69"/>
      <c r="K172" s="69"/>
      <c r="L172" s="49"/>
      <c r="M172" s="49"/>
      <c r="N172" s="49"/>
      <c r="O172" s="49"/>
      <c r="P172" s="49"/>
      <c r="Q172" s="49"/>
      <c r="R172" s="49"/>
      <c r="S172" s="49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99"/>
      <c r="AI172" s="99"/>
      <c r="BF172" s="76"/>
    </row>
    <row r="173" spans="1:58" s="46" customFormat="1">
      <c r="A173" s="99"/>
      <c r="B173" s="99"/>
      <c r="C173" s="99"/>
      <c r="D173" s="118"/>
      <c r="E173" s="105"/>
      <c r="F173" s="99"/>
      <c r="G173" s="99"/>
      <c r="H173" s="99"/>
      <c r="I173" s="69"/>
      <c r="J173" s="69"/>
      <c r="K173" s="69"/>
      <c r="L173" s="49"/>
      <c r="M173" s="49"/>
      <c r="N173" s="49"/>
      <c r="O173" s="49"/>
      <c r="P173" s="49"/>
      <c r="Q173" s="49"/>
      <c r="R173" s="49"/>
      <c r="S173" s="49"/>
      <c r="T173" s="47"/>
      <c r="U173" s="48"/>
      <c r="V173" s="99"/>
      <c r="W173" s="99"/>
      <c r="X173" s="101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99"/>
      <c r="AI173" s="9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BF173" s="76"/>
    </row>
    <row r="174" spans="1:58" s="46" customFormat="1">
      <c r="A174" s="99"/>
      <c r="B174" s="99"/>
      <c r="C174" s="119">
        <f>SUM(C128:C172)</f>
        <v>1243030.53</v>
      </c>
      <c r="D174" s="119">
        <f>SUM(D128:D172)</f>
        <v>1243070</v>
      </c>
      <c r="E174" s="105">
        <f t="shared" si="35"/>
        <v>-39.46999999997206</v>
      </c>
      <c r="F174" s="99"/>
      <c r="G174" s="99"/>
      <c r="H174" s="99"/>
      <c r="I174" s="69"/>
      <c r="J174" s="69"/>
      <c r="K174" s="69"/>
      <c r="L174" s="49"/>
      <c r="M174" s="49"/>
      <c r="N174" s="49"/>
      <c r="O174" s="49"/>
      <c r="P174" s="49"/>
      <c r="Q174" s="49"/>
      <c r="R174" s="49"/>
      <c r="S174" s="49"/>
      <c r="T174" s="47"/>
      <c r="U174" s="48"/>
      <c r="V174" s="99"/>
      <c r="W174" s="99"/>
      <c r="X174" s="101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99"/>
      <c r="AI174" s="9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BF174" s="76"/>
    </row>
    <row r="175" spans="1:58" s="46" customFormat="1">
      <c r="A175" s="99"/>
      <c r="B175" s="99"/>
      <c r="C175" s="99"/>
      <c r="D175" s="118"/>
      <c r="E175" s="99"/>
      <c r="F175" s="99"/>
      <c r="G175" s="99"/>
      <c r="H175" s="99"/>
      <c r="I175" s="69"/>
      <c r="J175" s="69"/>
      <c r="K175" s="69"/>
      <c r="L175" s="49"/>
      <c r="M175" s="49"/>
      <c r="N175" s="49"/>
      <c r="O175" s="49"/>
      <c r="P175" s="49"/>
      <c r="Q175" s="49"/>
      <c r="R175" s="49"/>
      <c r="S175" s="49"/>
      <c r="T175" s="47"/>
      <c r="U175" s="48"/>
      <c r="V175" s="99"/>
      <c r="W175" s="99"/>
      <c r="X175" s="101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99"/>
      <c r="AI175" s="9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BF175" s="76"/>
    </row>
    <row r="176" spans="1:58" s="46" customFormat="1">
      <c r="A176" s="107"/>
      <c r="B176" s="107"/>
      <c r="C176" s="107"/>
      <c r="D176" s="120"/>
      <c r="E176" s="107"/>
      <c r="F176" s="107"/>
      <c r="G176" s="99"/>
      <c r="H176" s="99"/>
      <c r="I176" s="69"/>
      <c r="J176" s="69"/>
      <c r="K176" s="69"/>
      <c r="L176" s="49"/>
      <c r="M176" s="49"/>
      <c r="N176" s="49"/>
      <c r="O176" s="49"/>
      <c r="P176" s="49"/>
      <c r="Q176" s="49"/>
      <c r="R176" s="49"/>
      <c r="S176" s="49"/>
      <c r="T176" s="47"/>
      <c r="U176" s="48"/>
      <c r="V176" s="99"/>
      <c r="W176" s="99"/>
      <c r="X176" s="101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99"/>
      <c r="AI176" s="9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BF176" s="76"/>
    </row>
    <row r="177" spans="1:58" s="46" customFormat="1">
      <c r="A177" s="108"/>
      <c r="B177" s="108"/>
      <c r="C177" s="108"/>
      <c r="D177" s="118"/>
      <c r="E177" s="108"/>
      <c r="F177" s="108"/>
      <c r="G177" s="99"/>
      <c r="H177" s="99"/>
      <c r="I177" s="69"/>
      <c r="J177" s="69"/>
      <c r="K177" s="69"/>
      <c r="L177" s="49"/>
      <c r="M177" s="49"/>
      <c r="N177" s="49"/>
      <c r="O177" s="49"/>
      <c r="P177" s="49"/>
      <c r="Q177" s="49"/>
      <c r="R177" s="49"/>
      <c r="S177" s="49"/>
      <c r="T177" s="47"/>
      <c r="U177" s="48"/>
      <c r="V177" s="99"/>
      <c r="W177" s="99"/>
      <c r="X177" s="101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99"/>
      <c r="AI177" s="9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BF177" s="76"/>
    </row>
    <row r="178" spans="1:58" s="46" customFormat="1">
      <c r="A178" s="108"/>
      <c r="B178" s="108"/>
      <c r="C178" s="108"/>
      <c r="D178" s="118"/>
      <c r="E178" s="108"/>
      <c r="F178" s="108"/>
      <c r="G178" s="99"/>
      <c r="H178" s="99"/>
      <c r="I178" s="69"/>
      <c r="J178" s="69"/>
      <c r="K178" s="69"/>
      <c r="L178" s="49"/>
      <c r="M178" s="49"/>
      <c r="N178" s="49"/>
      <c r="O178" s="49"/>
      <c r="P178" s="49"/>
      <c r="Q178" s="49"/>
      <c r="R178" s="49"/>
      <c r="S178" s="49"/>
      <c r="T178" s="47"/>
      <c r="U178" s="48"/>
      <c r="V178" s="99"/>
      <c r="W178" s="99"/>
      <c r="X178" s="101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99"/>
      <c r="AI178" s="9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BF178" s="76"/>
    </row>
    <row r="179" spans="1:58" s="46" customFormat="1">
      <c r="A179" s="108"/>
      <c r="B179" s="108"/>
      <c r="C179" s="108"/>
      <c r="D179" s="118"/>
      <c r="E179" s="108"/>
      <c r="F179" s="108"/>
      <c r="G179" s="99"/>
      <c r="H179" s="99"/>
      <c r="I179" s="69"/>
      <c r="J179" s="69"/>
      <c r="K179" s="69"/>
      <c r="L179" s="49"/>
      <c r="M179" s="49"/>
      <c r="N179" s="49"/>
      <c r="O179" s="49"/>
      <c r="P179" s="49"/>
      <c r="Q179" s="49"/>
      <c r="R179" s="49"/>
      <c r="S179" s="49"/>
      <c r="T179" s="47"/>
      <c r="U179" s="48"/>
      <c r="V179" s="99"/>
      <c r="W179" s="99"/>
      <c r="X179" s="101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99"/>
      <c r="AI179" s="9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BF179" s="76"/>
    </row>
    <row r="180" spans="1:58" s="46" customFormat="1">
      <c r="A180" s="108"/>
      <c r="B180" s="108"/>
      <c r="C180" s="108"/>
      <c r="D180" s="118"/>
      <c r="E180" s="108"/>
      <c r="F180" s="108"/>
      <c r="G180" s="99"/>
      <c r="H180" s="99"/>
      <c r="I180" s="69"/>
      <c r="J180" s="69"/>
      <c r="K180" s="69"/>
      <c r="L180" s="49"/>
      <c r="M180" s="49"/>
      <c r="N180" s="49"/>
      <c r="O180" s="49"/>
      <c r="P180" s="49"/>
      <c r="Q180" s="49"/>
      <c r="R180" s="49"/>
      <c r="S180" s="49"/>
      <c r="T180" s="47"/>
      <c r="U180" s="48"/>
      <c r="V180" s="99"/>
      <c r="W180" s="99"/>
      <c r="X180" s="101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99"/>
      <c r="AI180" s="9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BF180" s="76"/>
    </row>
    <row r="181" spans="1:58" s="46" customFormat="1">
      <c r="A181" s="108"/>
      <c r="B181" s="108"/>
      <c r="C181" s="108"/>
      <c r="D181" s="118"/>
      <c r="E181" s="476">
        <f>D174-1243070</f>
        <v>0</v>
      </c>
      <c r="F181" s="108"/>
      <c r="G181" s="99"/>
      <c r="H181" s="99"/>
      <c r="I181" s="69"/>
      <c r="J181" s="69"/>
      <c r="K181" s="69"/>
      <c r="L181" s="49"/>
      <c r="M181" s="49"/>
      <c r="N181" s="49"/>
      <c r="O181" s="49"/>
      <c r="P181" s="49"/>
      <c r="Q181" s="49"/>
      <c r="R181" s="49"/>
      <c r="S181" s="49"/>
      <c r="T181" s="47"/>
      <c r="U181" s="48"/>
      <c r="V181" s="99"/>
      <c r="W181" s="99"/>
      <c r="X181" s="101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99"/>
      <c r="AI181" s="9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BF181" s="76"/>
    </row>
    <row r="182" spans="1:58" s="46" customFormat="1">
      <c r="A182" s="108"/>
      <c r="B182" s="108"/>
      <c r="C182" s="108"/>
      <c r="D182" s="118"/>
      <c r="E182" s="108"/>
      <c r="F182" s="108"/>
      <c r="G182" s="99"/>
      <c r="H182" s="99"/>
      <c r="I182" s="69"/>
      <c r="J182" s="69"/>
      <c r="K182" s="69"/>
      <c r="L182" s="49"/>
      <c r="M182" s="49"/>
      <c r="N182" s="49"/>
      <c r="O182" s="49"/>
      <c r="P182" s="49"/>
      <c r="Q182" s="49"/>
      <c r="R182" s="49"/>
      <c r="S182" s="49"/>
      <c r="T182" s="47"/>
      <c r="U182" s="48"/>
      <c r="V182" s="99"/>
      <c r="W182" s="99"/>
      <c r="X182" s="101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99"/>
      <c r="AI182" s="9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BF182" s="76"/>
    </row>
    <row r="183" spans="1:58" s="46" customFormat="1">
      <c r="A183" s="108"/>
      <c r="B183" s="108"/>
      <c r="C183" s="108"/>
      <c r="D183" s="118"/>
      <c r="E183" s="108"/>
      <c r="F183" s="108"/>
      <c r="G183" s="99"/>
      <c r="H183" s="99"/>
      <c r="I183" s="69"/>
      <c r="J183" s="69"/>
      <c r="K183" s="69"/>
      <c r="L183" s="49"/>
      <c r="M183" s="49"/>
      <c r="N183" s="49"/>
      <c r="O183" s="49"/>
      <c r="P183" s="49"/>
      <c r="Q183" s="49"/>
      <c r="R183" s="49"/>
      <c r="S183" s="49"/>
      <c r="T183" s="47"/>
      <c r="U183" s="48"/>
      <c r="V183" s="99"/>
      <c r="W183" s="99"/>
      <c r="X183" s="101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99"/>
      <c r="AI183" s="9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BF183" s="76"/>
    </row>
    <row r="184" spans="1:58" s="46" customFormat="1">
      <c r="A184" s="108"/>
      <c r="B184" s="108"/>
      <c r="C184" s="108"/>
      <c r="D184" s="118"/>
      <c r="E184" s="108"/>
      <c r="F184" s="108"/>
      <c r="G184" s="99"/>
      <c r="H184" s="99"/>
      <c r="I184" s="69"/>
      <c r="J184" s="69"/>
      <c r="K184" s="69"/>
      <c r="L184" s="49"/>
      <c r="M184" s="49"/>
      <c r="N184" s="49"/>
      <c r="O184" s="49"/>
      <c r="P184" s="49"/>
      <c r="Q184" s="49"/>
      <c r="R184" s="49"/>
      <c r="S184" s="49"/>
      <c r="T184" s="47"/>
      <c r="U184" s="48"/>
      <c r="V184" s="99"/>
      <c r="W184" s="99"/>
      <c r="X184" s="101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99"/>
      <c r="AI184" s="9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BF184" s="76"/>
    </row>
    <row r="185" spans="1:58" s="46" customFormat="1">
      <c r="A185" s="108"/>
      <c r="B185" s="108"/>
      <c r="C185" s="108"/>
      <c r="D185" s="118"/>
      <c r="E185" s="108"/>
      <c r="F185" s="108"/>
      <c r="G185" s="99"/>
      <c r="H185" s="99"/>
      <c r="I185" s="69"/>
      <c r="J185" s="69"/>
      <c r="K185" s="69"/>
      <c r="L185" s="49"/>
      <c r="M185" s="49"/>
      <c r="N185" s="49"/>
      <c r="O185" s="49"/>
      <c r="P185" s="49"/>
      <c r="Q185" s="49"/>
      <c r="R185" s="49"/>
      <c r="S185" s="49"/>
      <c r="T185" s="47"/>
      <c r="U185" s="48"/>
      <c r="V185" s="99"/>
      <c r="W185" s="99"/>
      <c r="X185" s="101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99"/>
      <c r="AI185" s="9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BF185" s="76"/>
    </row>
    <row r="186" spans="1:58" s="46" customFormat="1">
      <c r="A186" s="108"/>
      <c r="B186" s="108"/>
      <c r="C186" s="108"/>
      <c r="D186" s="118"/>
      <c r="E186" s="108"/>
      <c r="F186" s="108"/>
      <c r="G186" s="99"/>
      <c r="H186" s="99"/>
      <c r="I186" s="69"/>
      <c r="J186" s="69"/>
      <c r="K186" s="69"/>
      <c r="L186" s="49"/>
      <c r="M186" s="49"/>
      <c r="N186" s="49"/>
      <c r="O186" s="49"/>
      <c r="P186" s="49"/>
      <c r="Q186" s="49"/>
      <c r="R186" s="49"/>
      <c r="S186" s="49"/>
      <c r="T186" s="47"/>
      <c r="U186" s="48"/>
      <c r="V186" s="99"/>
      <c r="W186" s="99"/>
      <c r="X186" s="101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99"/>
      <c r="AI186" s="9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BF186" s="76"/>
    </row>
    <row r="187" spans="1:58" s="46" customFormat="1">
      <c r="A187" s="108"/>
      <c r="B187" s="108"/>
      <c r="C187" s="108"/>
      <c r="D187" s="118"/>
      <c r="E187" s="108"/>
      <c r="F187" s="108"/>
      <c r="G187" s="99"/>
      <c r="H187" s="99"/>
      <c r="I187" s="69"/>
      <c r="J187" s="69"/>
      <c r="K187" s="69"/>
      <c r="L187" s="49"/>
      <c r="M187" s="49"/>
      <c r="N187" s="49"/>
      <c r="O187" s="49"/>
      <c r="P187" s="49"/>
      <c r="Q187" s="49"/>
      <c r="R187" s="49"/>
      <c r="S187" s="49"/>
      <c r="T187" s="47"/>
      <c r="U187" s="48"/>
      <c r="V187" s="99"/>
      <c r="W187" s="99"/>
      <c r="X187" s="101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99"/>
      <c r="AI187" s="9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BF187" s="76"/>
    </row>
    <row r="188" spans="1:58" s="46" customFormat="1">
      <c r="A188" s="108"/>
      <c r="B188" s="108"/>
      <c r="C188" s="108"/>
      <c r="D188" s="118"/>
      <c r="E188" s="108"/>
      <c r="F188" s="108"/>
      <c r="G188" s="99"/>
      <c r="H188" s="99"/>
      <c r="I188" s="69"/>
      <c r="J188" s="69"/>
      <c r="K188" s="69"/>
      <c r="L188" s="49"/>
      <c r="M188" s="49"/>
      <c r="N188" s="49"/>
      <c r="O188" s="49"/>
      <c r="P188" s="49"/>
      <c r="Q188" s="49"/>
      <c r="R188" s="49"/>
      <c r="S188" s="49"/>
      <c r="T188" s="47"/>
      <c r="U188" s="48"/>
      <c r="V188" s="99"/>
      <c r="W188" s="99"/>
      <c r="X188" s="101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99"/>
      <c r="AI188" s="9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BF188" s="76"/>
    </row>
    <row r="189" spans="1:58" s="46" customFormat="1">
      <c r="A189" s="108"/>
      <c r="B189" s="108"/>
      <c r="C189" s="108"/>
      <c r="D189" s="118"/>
      <c r="E189" s="108"/>
      <c r="F189" s="108"/>
      <c r="G189" s="99"/>
      <c r="H189" s="99"/>
      <c r="I189" s="69"/>
      <c r="J189" s="69"/>
      <c r="K189" s="69"/>
      <c r="L189" s="49"/>
      <c r="M189" s="49"/>
      <c r="N189" s="49"/>
      <c r="O189" s="49"/>
      <c r="P189" s="49"/>
      <c r="Q189" s="49"/>
      <c r="R189" s="49"/>
      <c r="S189" s="49"/>
      <c r="T189" s="47"/>
      <c r="U189" s="48"/>
      <c r="V189" s="99"/>
      <c r="W189" s="99"/>
      <c r="X189" s="101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99"/>
      <c r="AI189" s="9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BF189" s="76"/>
    </row>
    <row r="190" spans="1:58" s="46" customFormat="1">
      <c r="A190" s="108"/>
      <c r="B190" s="108"/>
      <c r="C190" s="108"/>
      <c r="D190" s="118"/>
      <c r="E190" s="108"/>
      <c r="F190" s="108"/>
      <c r="G190" s="99"/>
      <c r="H190" s="99"/>
      <c r="I190" s="69"/>
      <c r="J190" s="69"/>
      <c r="K190" s="69"/>
      <c r="L190" s="49"/>
      <c r="M190" s="49"/>
      <c r="N190" s="49"/>
      <c r="O190" s="49"/>
      <c r="P190" s="49"/>
      <c r="Q190" s="49"/>
      <c r="R190" s="49"/>
      <c r="S190" s="49"/>
      <c r="T190" s="47"/>
      <c r="U190" s="48"/>
      <c r="V190" s="99"/>
      <c r="W190" s="99"/>
      <c r="X190" s="101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99"/>
      <c r="AI190" s="9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BF190" s="76"/>
    </row>
    <row r="191" spans="1:58" s="46" customFormat="1">
      <c r="A191" s="108"/>
      <c r="B191" s="108"/>
      <c r="C191" s="108"/>
      <c r="D191" s="118"/>
      <c r="E191" s="108"/>
      <c r="F191" s="108"/>
      <c r="G191" s="99"/>
      <c r="H191" s="99"/>
      <c r="I191" s="69"/>
      <c r="J191" s="69"/>
      <c r="K191" s="69"/>
      <c r="L191" s="49"/>
      <c r="M191" s="49"/>
      <c r="N191" s="49"/>
      <c r="O191" s="49"/>
      <c r="P191" s="49"/>
      <c r="Q191" s="49"/>
      <c r="R191" s="49"/>
      <c r="S191" s="49"/>
      <c r="T191" s="47"/>
      <c r="U191" s="48"/>
      <c r="V191" s="99"/>
      <c r="W191" s="99"/>
      <c r="X191" s="101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99"/>
      <c r="AI191" s="9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BF191" s="76"/>
    </row>
    <row r="192" spans="1:58" s="46" customFormat="1">
      <c r="A192" s="108"/>
      <c r="B192" s="108"/>
      <c r="C192" s="108"/>
      <c r="D192" s="118"/>
      <c r="E192" s="108"/>
      <c r="F192" s="108"/>
      <c r="G192" s="99"/>
      <c r="H192" s="99"/>
      <c r="I192" s="69"/>
      <c r="J192" s="69"/>
      <c r="K192" s="69"/>
      <c r="L192" s="49"/>
      <c r="M192" s="49"/>
      <c r="N192" s="49"/>
      <c r="O192" s="49"/>
      <c r="P192" s="49"/>
      <c r="Q192" s="49"/>
      <c r="R192" s="49"/>
      <c r="S192" s="49"/>
      <c r="T192" s="47"/>
      <c r="U192" s="48"/>
      <c r="V192" s="99"/>
      <c r="W192" s="99"/>
      <c r="X192" s="101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99"/>
      <c r="AI192" s="9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BF192" s="76"/>
    </row>
    <row r="193" spans="1:58" s="46" customFormat="1">
      <c r="A193" s="108"/>
      <c r="B193" s="108"/>
      <c r="C193" s="108"/>
      <c r="D193" s="118"/>
      <c r="E193" s="108"/>
      <c r="F193" s="108"/>
      <c r="G193" s="99"/>
      <c r="H193" s="99"/>
      <c r="I193" s="69"/>
      <c r="J193" s="69"/>
      <c r="K193" s="69"/>
      <c r="L193" s="49"/>
      <c r="M193" s="49"/>
      <c r="N193" s="49"/>
      <c r="O193" s="49"/>
      <c r="P193" s="49"/>
      <c r="Q193" s="49"/>
      <c r="R193" s="49"/>
      <c r="S193" s="49"/>
      <c r="T193" s="47"/>
      <c r="U193" s="48"/>
      <c r="V193" s="99"/>
      <c r="W193" s="99"/>
      <c r="X193" s="101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99"/>
      <c r="AI193" s="9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BF193" s="76"/>
    </row>
    <row r="194" spans="1:58" s="46" customFormat="1">
      <c r="A194" s="108"/>
      <c r="B194" s="108"/>
      <c r="C194" s="108"/>
      <c r="D194" s="118"/>
      <c r="E194" s="108"/>
      <c r="F194" s="108"/>
      <c r="G194" s="99"/>
      <c r="H194" s="99"/>
      <c r="I194" s="69"/>
      <c r="J194" s="69"/>
      <c r="K194" s="69"/>
      <c r="L194" s="49"/>
      <c r="M194" s="49"/>
      <c r="N194" s="49"/>
      <c r="O194" s="49"/>
      <c r="P194" s="49"/>
      <c r="Q194" s="49"/>
      <c r="R194" s="49"/>
      <c r="S194" s="49"/>
      <c r="T194" s="47"/>
      <c r="U194" s="48"/>
      <c r="V194" s="99"/>
      <c r="W194" s="99"/>
      <c r="X194" s="101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99"/>
      <c r="AI194" s="9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BF194" s="76"/>
    </row>
    <row r="195" spans="1:58" s="46" customFormat="1">
      <c r="A195" s="108"/>
      <c r="B195" s="108"/>
      <c r="C195" s="108"/>
      <c r="D195" s="118"/>
      <c r="E195" s="108"/>
      <c r="F195" s="108"/>
      <c r="G195" s="99"/>
      <c r="H195" s="99"/>
      <c r="I195" s="69"/>
      <c r="J195" s="69"/>
      <c r="K195" s="69"/>
      <c r="L195" s="49"/>
      <c r="M195" s="49"/>
      <c r="N195" s="49"/>
      <c r="O195" s="49"/>
      <c r="P195" s="49"/>
      <c r="Q195" s="49"/>
      <c r="R195" s="49"/>
      <c r="S195" s="49"/>
      <c r="T195" s="47"/>
      <c r="U195" s="48"/>
      <c r="V195" s="99"/>
      <c r="W195" s="99"/>
      <c r="X195" s="101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99"/>
      <c r="AI195" s="9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BF195" s="76"/>
    </row>
    <row r="196" spans="1:58" s="46" customFormat="1">
      <c r="A196" s="108"/>
      <c r="B196" s="108"/>
      <c r="C196" s="108"/>
      <c r="D196" s="118"/>
      <c r="E196" s="108"/>
      <c r="F196" s="108"/>
      <c r="G196" s="99"/>
      <c r="H196" s="99"/>
      <c r="I196" s="69"/>
      <c r="J196" s="69"/>
      <c r="K196" s="69"/>
      <c r="L196" s="49"/>
      <c r="M196" s="49"/>
      <c r="N196" s="49"/>
      <c r="O196" s="49"/>
      <c r="P196" s="49"/>
      <c r="Q196" s="49"/>
      <c r="R196" s="49"/>
      <c r="S196" s="49"/>
      <c r="T196" s="47"/>
      <c r="U196" s="48"/>
      <c r="V196" s="99"/>
      <c r="W196" s="99"/>
      <c r="X196" s="101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99"/>
      <c r="AI196" s="9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BF196" s="76"/>
    </row>
    <row r="197" spans="1:58" s="46" customFormat="1">
      <c r="A197" s="108"/>
      <c r="B197" s="108"/>
      <c r="C197" s="108"/>
      <c r="D197" s="118"/>
      <c r="E197" s="108"/>
      <c r="F197" s="108"/>
      <c r="G197" s="99"/>
      <c r="H197" s="99"/>
      <c r="I197" s="69"/>
      <c r="J197" s="69"/>
      <c r="K197" s="69"/>
      <c r="L197" s="49"/>
      <c r="M197" s="49"/>
      <c r="N197" s="49"/>
      <c r="O197" s="49"/>
      <c r="P197" s="49"/>
      <c r="Q197" s="49"/>
      <c r="R197" s="49"/>
      <c r="S197" s="49"/>
      <c r="T197" s="47"/>
      <c r="U197" s="48"/>
      <c r="V197" s="99"/>
      <c r="W197" s="99"/>
      <c r="X197" s="101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99"/>
      <c r="AI197" s="9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BF197" s="76"/>
    </row>
    <row r="198" spans="1:58" s="46" customFormat="1">
      <c r="A198" s="108"/>
      <c r="B198" s="108"/>
      <c r="C198" s="108"/>
      <c r="D198" s="118"/>
      <c r="E198" s="108"/>
      <c r="F198" s="108"/>
      <c r="G198" s="99"/>
      <c r="H198" s="99"/>
      <c r="I198" s="69"/>
      <c r="J198" s="69"/>
      <c r="K198" s="69"/>
      <c r="L198" s="49"/>
      <c r="M198" s="49"/>
      <c r="N198" s="49"/>
      <c r="O198" s="49"/>
      <c r="P198" s="49"/>
      <c r="Q198" s="49"/>
      <c r="R198" s="49"/>
      <c r="S198" s="49"/>
      <c r="T198" s="47"/>
      <c r="U198" s="48"/>
      <c r="V198" s="99"/>
      <c r="W198" s="99"/>
      <c r="X198" s="101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99"/>
      <c r="AI198" s="9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BF198" s="76"/>
    </row>
    <row r="199" spans="1:58" s="46" customFormat="1">
      <c r="A199" s="108"/>
      <c r="B199" s="108"/>
      <c r="C199" s="108"/>
      <c r="D199" s="118"/>
      <c r="E199" s="108"/>
      <c r="F199" s="108"/>
      <c r="G199" s="99"/>
      <c r="H199" s="99"/>
      <c r="I199" s="69"/>
      <c r="J199" s="69"/>
      <c r="K199" s="69"/>
      <c r="L199" s="49"/>
      <c r="M199" s="49"/>
      <c r="N199" s="49"/>
      <c r="O199" s="49"/>
      <c r="P199" s="49"/>
      <c r="Q199" s="49"/>
      <c r="R199" s="49"/>
      <c r="S199" s="49"/>
      <c r="T199" s="47"/>
      <c r="U199" s="48"/>
      <c r="V199" s="99"/>
      <c r="W199" s="99"/>
      <c r="X199" s="101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99"/>
      <c r="AI199" s="9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BF199" s="76"/>
    </row>
    <row r="200" spans="1:58" s="46" customFormat="1">
      <c r="A200" s="108"/>
      <c r="B200" s="108"/>
      <c r="C200" s="108"/>
      <c r="D200" s="118"/>
      <c r="E200" s="108"/>
      <c r="F200" s="108"/>
      <c r="G200" s="99"/>
      <c r="H200" s="99"/>
      <c r="I200" s="69"/>
      <c r="J200" s="69"/>
      <c r="K200" s="69"/>
      <c r="L200" s="49"/>
      <c r="M200" s="49"/>
      <c r="N200" s="49"/>
      <c r="O200" s="49"/>
      <c r="P200" s="49"/>
      <c r="Q200" s="49"/>
      <c r="R200" s="49"/>
      <c r="S200" s="49"/>
      <c r="T200" s="47"/>
      <c r="U200" s="48"/>
      <c r="V200" s="99"/>
      <c r="W200" s="99"/>
      <c r="X200" s="101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99"/>
      <c r="AI200" s="9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BF200" s="76"/>
    </row>
    <row r="201" spans="1:58" s="46" customFormat="1">
      <c r="A201" s="108"/>
      <c r="B201" s="108"/>
      <c r="C201" s="108"/>
      <c r="D201" s="118"/>
      <c r="E201" s="108"/>
      <c r="F201" s="108"/>
      <c r="G201" s="99"/>
      <c r="H201" s="99"/>
      <c r="I201" s="69"/>
      <c r="J201" s="69"/>
      <c r="K201" s="69"/>
      <c r="L201" s="49"/>
      <c r="M201" s="49"/>
      <c r="N201" s="49"/>
      <c r="O201" s="49"/>
      <c r="P201" s="49"/>
      <c r="Q201" s="49"/>
      <c r="R201" s="49"/>
      <c r="S201" s="49"/>
      <c r="T201" s="47"/>
      <c r="U201" s="48"/>
      <c r="V201" s="99"/>
      <c r="W201" s="99"/>
      <c r="X201" s="101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99"/>
      <c r="AI201" s="9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BF201" s="76"/>
    </row>
    <row r="202" spans="1:58" s="46" customFormat="1">
      <c r="A202" s="108"/>
      <c r="B202" s="108"/>
      <c r="C202" s="108"/>
      <c r="D202" s="118"/>
      <c r="E202" s="108"/>
      <c r="F202" s="108"/>
      <c r="G202" s="99"/>
      <c r="H202" s="99"/>
      <c r="I202" s="69"/>
      <c r="J202" s="69"/>
      <c r="K202" s="69"/>
      <c r="L202" s="49"/>
      <c r="M202" s="49"/>
      <c r="N202" s="49"/>
      <c r="O202" s="49"/>
      <c r="P202" s="49"/>
      <c r="Q202" s="49"/>
      <c r="R202" s="49"/>
      <c r="S202" s="49"/>
      <c r="T202" s="47"/>
      <c r="U202" s="48"/>
      <c r="V202" s="99"/>
      <c r="W202" s="99"/>
      <c r="X202" s="101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99"/>
      <c r="AI202" s="9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BF202" s="76"/>
    </row>
    <row r="203" spans="1:58" s="46" customFormat="1">
      <c r="A203" s="108"/>
      <c r="B203" s="108"/>
      <c r="C203" s="108"/>
      <c r="D203" s="118"/>
      <c r="E203" s="108"/>
      <c r="F203" s="108"/>
      <c r="G203" s="99"/>
      <c r="H203" s="99"/>
      <c r="I203" s="69"/>
      <c r="J203" s="69"/>
      <c r="K203" s="69"/>
      <c r="L203" s="49"/>
      <c r="M203" s="49"/>
      <c r="N203" s="49"/>
      <c r="O203" s="49"/>
      <c r="P203" s="49"/>
      <c r="Q203" s="49"/>
      <c r="R203" s="49"/>
      <c r="S203" s="49"/>
      <c r="T203" s="47"/>
      <c r="U203" s="48"/>
      <c r="V203" s="99"/>
      <c r="W203" s="99"/>
      <c r="X203" s="101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99"/>
      <c r="AI203" s="9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BF203" s="76"/>
    </row>
    <row r="204" spans="1:58" s="46" customFormat="1">
      <c r="A204" s="108"/>
      <c r="B204" s="108"/>
      <c r="C204" s="108"/>
      <c r="D204" s="118"/>
      <c r="E204" s="108"/>
      <c r="F204" s="108"/>
      <c r="G204" s="99"/>
      <c r="H204" s="99"/>
      <c r="I204" s="69"/>
      <c r="J204" s="69"/>
      <c r="K204" s="69"/>
      <c r="L204" s="49"/>
      <c r="M204" s="49"/>
      <c r="N204" s="49"/>
      <c r="O204" s="49"/>
      <c r="P204" s="49"/>
      <c r="Q204" s="49"/>
      <c r="R204" s="49"/>
      <c r="S204" s="49"/>
      <c r="T204" s="47"/>
      <c r="U204" s="48"/>
      <c r="V204" s="99"/>
      <c r="W204" s="99"/>
      <c r="X204" s="101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99"/>
      <c r="AI204" s="9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BF204" s="76"/>
    </row>
    <row r="205" spans="1:58" s="46" customFormat="1">
      <c r="A205" s="108"/>
      <c r="B205" s="108"/>
      <c r="C205" s="108"/>
      <c r="D205" s="118"/>
      <c r="E205" s="108"/>
      <c r="F205" s="108"/>
      <c r="G205" s="99"/>
      <c r="H205" s="99"/>
      <c r="I205" s="69"/>
      <c r="J205" s="69"/>
      <c r="K205" s="69"/>
      <c r="L205" s="49"/>
      <c r="M205" s="49"/>
      <c r="N205" s="49"/>
      <c r="O205" s="49"/>
      <c r="P205" s="49"/>
      <c r="Q205" s="49"/>
      <c r="R205" s="49"/>
      <c r="S205" s="49"/>
      <c r="T205" s="47"/>
      <c r="U205" s="48"/>
      <c r="V205" s="99"/>
      <c r="W205" s="99"/>
      <c r="X205" s="101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99"/>
      <c r="AI205" s="9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BF205" s="76"/>
    </row>
    <row r="206" spans="1:58" s="46" customFormat="1">
      <c r="A206" s="108"/>
      <c r="B206" s="108"/>
      <c r="C206" s="108"/>
      <c r="D206" s="118"/>
      <c r="E206" s="108"/>
      <c r="F206" s="108"/>
      <c r="G206" s="99"/>
      <c r="H206" s="99"/>
      <c r="I206" s="69"/>
      <c r="J206" s="69"/>
      <c r="K206" s="69"/>
      <c r="L206" s="49"/>
      <c r="M206" s="49"/>
      <c r="N206" s="49"/>
      <c r="O206" s="49"/>
      <c r="P206" s="49"/>
      <c r="Q206" s="49"/>
      <c r="R206" s="49"/>
      <c r="S206" s="49"/>
      <c r="T206" s="47"/>
      <c r="U206" s="48"/>
      <c r="V206" s="99"/>
      <c r="W206" s="99"/>
      <c r="X206" s="101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99"/>
      <c r="AI206" s="9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BF206" s="76"/>
    </row>
    <row r="207" spans="1:58" s="46" customFormat="1">
      <c r="A207" s="108"/>
      <c r="B207" s="108"/>
      <c r="C207" s="108"/>
      <c r="D207" s="118"/>
      <c r="E207" s="108"/>
      <c r="F207" s="108"/>
      <c r="G207" s="99"/>
      <c r="H207" s="99"/>
      <c r="I207" s="69"/>
      <c r="J207" s="69"/>
      <c r="K207" s="69"/>
      <c r="L207" s="49"/>
      <c r="M207" s="49"/>
      <c r="N207" s="49"/>
      <c r="O207" s="49"/>
      <c r="P207" s="49"/>
      <c r="Q207" s="49"/>
      <c r="R207" s="49"/>
      <c r="S207" s="49"/>
      <c r="T207" s="47"/>
      <c r="U207" s="48"/>
      <c r="V207" s="99"/>
      <c r="W207" s="99"/>
      <c r="X207" s="101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99"/>
      <c r="AI207" s="9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BF207" s="76"/>
    </row>
    <row r="208" spans="1:58" s="46" customFormat="1">
      <c r="A208" s="108"/>
      <c r="B208" s="108"/>
      <c r="C208" s="108"/>
      <c r="D208" s="118"/>
      <c r="E208" s="108"/>
      <c r="F208" s="108"/>
      <c r="G208" s="99"/>
      <c r="H208" s="99"/>
      <c r="I208" s="69"/>
      <c r="J208" s="69"/>
      <c r="K208" s="69"/>
      <c r="L208" s="49"/>
      <c r="M208" s="49"/>
      <c r="N208" s="49"/>
      <c r="O208" s="49"/>
      <c r="P208" s="49"/>
      <c r="Q208" s="49"/>
      <c r="R208" s="49"/>
      <c r="S208" s="49"/>
      <c r="T208" s="47"/>
      <c r="U208" s="48"/>
      <c r="V208" s="99"/>
      <c r="W208" s="99"/>
      <c r="X208" s="101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99"/>
      <c r="AI208" s="9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BF208" s="76"/>
    </row>
    <row r="209" spans="1:58" s="46" customFormat="1">
      <c r="A209" s="108"/>
      <c r="B209" s="108"/>
      <c r="C209" s="108"/>
      <c r="D209" s="118"/>
      <c r="E209" s="108"/>
      <c r="F209" s="108"/>
      <c r="G209" s="99"/>
      <c r="H209" s="99"/>
      <c r="I209" s="69"/>
      <c r="J209" s="69"/>
      <c r="K209" s="69"/>
      <c r="L209" s="49"/>
      <c r="M209" s="49"/>
      <c r="N209" s="49"/>
      <c r="O209" s="49"/>
      <c r="P209" s="49"/>
      <c r="Q209" s="49"/>
      <c r="R209" s="49"/>
      <c r="S209" s="49"/>
      <c r="T209" s="47"/>
      <c r="U209" s="48"/>
      <c r="V209" s="99"/>
      <c r="W209" s="99"/>
      <c r="X209" s="101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99"/>
      <c r="AI209" s="9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BF209" s="76"/>
    </row>
    <row r="210" spans="1:58" s="46" customFormat="1">
      <c r="A210" s="108"/>
      <c r="B210" s="108"/>
      <c r="C210" s="108"/>
      <c r="D210" s="118"/>
      <c r="E210" s="108"/>
      <c r="F210" s="108"/>
      <c r="G210" s="99"/>
      <c r="H210" s="99"/>
      <c r="I210" s="69"/>
      <c r="J210" s="69"/>
      <c r="K210" s="69"/>
      <c r="L210" s="49"/>
      <c r="M210" s="49"/>
      <c r="N210" s="49"/>
      <c r="O210" s="49"/>
      <c r="P210" s="49"/>
      <c r="Q210" s="49"/>
      <c r="R210" s="49"/>
      <c r="S210" s="49"/>
      <c r="T210" s="47"/>
      <c r="U210" s="48"/>
      <c r="V210" s="99"/>
      <c r="W210" s="99"/>
      <c r="X210" s="101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99"/>
      <c r="AI210" s="9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BF210" s="76"/>
    </row>
    <row r="211" spans="1:58" s="46" customFormat="1">
      <c r="A211" s="108"/>
      <c r="B211" s="108"/>
      <c r="C211" s="108"/>
      <c r="D211" s="118"/>
      <c r="E211" s="108"/>
      <c r="F211" s="108"/>
      <c r="G211" s="99"/>
      <c r="H211" s="99"/>
      <c r="I211" s="69"/>
      <c r="J211" s="69"/>
      <c r="K211" s="69"/>
      <c r="L211" s="49"/>
      <c r="M211" s="49"/>
      <c r="N211" s="49"/>
      <c r="O211" s="49"/>
      <c r="P211" s="49"/>
      <c r="Q211" s="49"/>
      <c r="R211" s="49"/>
      <c r="S211" s="49"/>
      <c r="T211" s="47"/>
      <c r="U211" s="48"/>
      <c r="V211" s="99"/>
      <c r="W211" s="99"/>
      <c r="X211" s="101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99"/>
      <c r="AI211" s="9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BF211" s="76"/>
    </row>
    <row r="212" spans="1:58" s="46" customFormat="1">
      <c r="A212" s="108"/>
      <c r="B212" s="108"/>
      <c r="C212" s="108"/>
      <c r="D212" s="118"/>
      <c r="E212" s="108"/>
      <c r="F212" s="108"/>
      <c r="G212" s="99"/>
      <c r="H212" s="99"/>
      <c r="I212" s="69"/>
      <c r="J212" s="69"/>
      <c r="K212" s="69"/>
      <c r="L212" s="49"/>
      <c r="M212" s="49"/>
      <c r="N212" s="49"/>
      <c r="O212" s="49"/>
      <c r="P212" s="49"/>
      <c r="Q212" s="49"/>
      <c r="R212" s="49"/>
      <c r="S212" s="49"/>
      <c r="T212" s="47"/>
      <c r="U212" s="48"/>
      <c r="V212" s="99"/>
      <c r="W212" s="99"/>
      <c r="X212" s="101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99"/>
      <c r="AI212" s="9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BF212" s="76"/>
    </row>
    <row r="213" spans="1:58" s="46" customFormat="1">
      <c r="A213" s="108"/>
      <c r="B213" s="108"/>
      <c r="C213" s="108"/>
      <c r="D213" s="118"/>
      <c r="E213" s="108"/>
      <c r="F213" s="108"/>
      <c r="G213" s="99"/>
      <c r="H213" s="99"/>
      <c r="I213" s="69"/>
      <c r="J213" s="69"/>
      <c r="K213" s="69"/>
      <c r="L213" s="49"/>
      <c r="M213" s="49"/>
      <c r="N213" s="49"/>
      <c r="O213" s="49"/>
      <c r="P213" s="49"/>
      <c r="Q213" s="49"/>
      <c r="R213" s="49"/>
      <c r="S213" s="49"/>
      <c r="T213" s="47"/>
      <c r="U213" s="48"/>
      <c r="V213" s="99"/>
      <c r="W213" s="99"/>
      <c r="X213" s="101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99"/>
      <c r="AI213" s="9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BF213" s="76"/>
    </row>
    <row r="214" spans="1:58" s="46" customFormat="1">
      <c r="A214" s="108"/>
      <c r="B214" s="108"/>
      <c r="C214" s="108"/>
      <c r="D214" s="118"/>
      <c r="E214" s="108"/>
      <c r="F214" s="108"/>
      <c r="G214" s="99"/>
      <c r="H214" s="99"/>
      <c r="I214" s="69"/>
      <c r="J214" s="69"/>
      <c r="K214" s="69"/>
      <c r="L214" s="49"/>
      <c r="M214" s="49"/>
      <c r="N214" s="49"/>
      <c r="O214" s="49"/>
      <c r="P214" s="49"/>
      <c r="Q214" s="49"/>
      <c r="R214" s="49"/>
      <c r="S214" s="49"/>
      <c r="T214" s="47"/>
      <c r="U214" s="48"/>
      <c r="V214" s="99"/>
      <c r="W214" s="99"/>
      <c r="X214" s="101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99"/>
      <c r="AI214" s="9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BF214" s="76"/>
    </row>
    <row r="215" spans="1:58" s="46" customFormat="1">
      <c r="A215" s="108"/>
      <c r="B215" s="108"/>
      <c r="C215" s="108"/>
      <c r="D215" s="118"/>
      <c r="E215" s="108"/>
      <c r="F215" s="108"/>
      <c r="G215" s="99"/>
      <c r="H215" s="99"/>
      <c r="I215" s="69"/>
      <c r="J215" s="69"/>
      <c r="K215" s="69"/>
      <c r="L215" s="49"/>
      <c r="M215" s="49"/>
      <c r="N215" s="49"/>
      <c r="O215" s="49"/>
      <c r="P215" s="49"/>
      <c r="Q215" s="49"/>
      <c r="R215" s="49"/>
      <c r="S215" s="49"/>
      <c r="T215" s="47"/>
      <c r="U215" s="48"/>
      <c r="V215" s="99"/>
      <c r="W215" s="99"/>
      <c r="X215" s="101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99"/>
      <c r="AI215" s="9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BF215" s="76"/>
    </row>
    <row r="216" spans="1:58" s="46" customFormat="1">
      <c r="A216" s="108"/>
      <c r="B216" s="108"/>
      <c r="C216" s="108"/>
      <c r="D216" s="108"/>
      <c r="E216" s="108"/>
      <c r="F216" s="108"/>
      <c r="G216" s="99"/>
      <c r="H216" s="99"/>
      <c r="I216" s="69"/>
      <c r="J216" s="69"/>
      <c r="K216" s="69"/>
      <c r="L216" s="49"/>
      <c r="M216" s="49"/>
      <c r="N216" s="49"/>
      <c r="O216" s="49"/>
      <c r="P216" s="49"/>
      <c r="Q216" s="49"/>
      <c r="R216" s="49"/>
      <c r="S216" s="49"/>
      <c r="T216" s="47"/>
      <c r="U216" s="48"/>
      <c r="V216" s="99"/>
      <c r="W216" s="99"/>
      <c r="X216" s="101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99"/>
      <c r="AI216" s="9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BF216" s="76"/>
    </row>
    <row r="217" spans="1:58" s="46" customFormat="1">
      <c r="A217" s="108"/>
      <c r="B217" s="108"/>
      <c r="C217" s="108"/>
      <c r="D217" s="108"/>
      <c r="E217" s="108"/>
      <c r="F217" s="108"/>
      <c r="G217" s="99"/>
      <c r="H217" s="99"/>
      <c r="I217" s="69"/>
      <c r="J217" s="69"/>
      <c r="K217" s="69"/>
      <c r="L217" s="49"/>
      <c r="M217" s="49"/>
      <c r="N217" s="49"/>
      <c r="O217" s="49"/>
      <c r="P217" s="49"/>
      <c r="Q217" s="49"/>
      <c r="R217" s="49"/>
      <c r="S217" s="49"/>
      <c r="T217" s="47"/>
      <c r="U217" s="48"/>
      <c r="V217" s="99"/>
      <c r="W217" s="99"/>
      <c r="X217" s="101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99"/>
      <c r="AI217" s="9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BF217" s="76"/>
    </row>
    <row r="218" spans="1:58" s="46" customFormat="1">
      <c r="A218" s="108"/>
      <c r="B218" s="108"/>
      <c r="C218" s="108"/>
      <c r="D218" s="108"/>
      <c r="E218" s="108"/>
      <c r="F218" s="108"/>
      <c r="G218" s="99"/>
      <c r="H218" s="99"/>
      <c r="I218" s="69"/>
      <c r="J218" s="69"/>
      <c r="K218" s="69"/>
      <c r="L218" s="49"/>
      <c r="M218" s="49"/>
      <c r="N218" s="49"/>
      <c r="O218" s="49"/>
      <c r="P218" s="49"/>
      <c r="Q218" s="49"/>
      <c r="R218" s="49"/>
      <c r="S218" s="49"/>
      <c r="T218" s="47"/>
      <c r="U218" s="48"/>
      <c r="V218" s="99"/>
      <c r="W218" s="99"/>
      <c r="X218" s="101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99"/>
      <c r="AI218" s="9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BF218" s="76"/>
    </row>
    <row r="219" spans="1:58" s="46" customFormat="1">
      <c r="A219" s="108"/>
      <c r="B219" s="108"/>
      <c r="C219" s="108"/>
      <c r="D219" s="108"/>
      <c r="E219" s="108"/>
      <c r="F219" s="108"/>
      <c r="G219" s="99"/>
      <c r="H219" s="99"/>
      <c r="I219" s="69"/>
      <c r="J219" s="69"/>
      <c r="K219" s="69"/>
      <c r="L219" s="49"/>
      <c r="M219" s="49"/>
      <c r="N219" s="49"/>
      <c r="O219" s="49"/>
      <c r="P219" s="49"/>
      <c r="Q219" s="49"/>
      <c r="R219" s="49"/>
      <c r="S219" s="49"/>
      <c r="T219" s="47"/>
      <c r="U219" s="48"/>
      <c r="V219" s="99"/>
      <c r="W219" s="99"/>
      <c r="X219" s="101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99"/>
      <c r="AI219" s="9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BF219" s="76"/>
    </row>
    <row r="220" spans="1:58" s="46" customFormat="1">
      <c r="A220" s="108"/>
      <c r="B220" s="108"/>
      <c r="C220" s="108"/>
      <c r="D220" s="108"/>
      <c r="E220" s="108"/>
      <c r="F220" s="108"/>
      <c r="G220" s="99"/>
      <c r="H220" s="99"/>
      <c r="I220" s="69"/>
      <c r="J220" s="69"/>
      <c r="K220" s="69"/>
      <c r="L220" s="49"/>
      <c r="M220" s="49"/>
      <c r="N220" s="49"/>
      <c r="O220" s="49"/>
      <c r="P220" s="49"/>
      <c r="Q220" s="49"/>
      <c r="R220" s="49"/>
      <c r="S220" s="49"/>
      <c r="T220" s="47"/>
      <c r="U220" s="48"/>
      <c r="V220" s="99"/>
      <c r="W220" s="99"/>
      <c r="X220" s="101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99"/>
      <c r="AI220" s="9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BF220" s="76"/>
    </row>
    <row r="221" spans="1:58" s="46" customFormat="1">
      <c r="A221" s="108"/>
      <c r="B221" s="108"/>
      <c r="C221" s="108"/>
      <c r="D221" s="108"/>
      <c r="E221" s="108"/>
      <c r="F221" s="108"/>
      <c r="G221" s="99"/>
      <c r="H221" s="99"/>
      <c r="I221" s="69"/>
      <c r="J221" s="69"/>
      <c r="K221" s="69"/>
      <c r="L221" s="49"/>
      <c r="M221" s="49"/>
      <c r="N221" s="49"/>
      <c r="O221" s="49"/>
      <c r="P221" s="49"/>
      <c r="Q221" s="49"/>
      <c r="R221" s="49"/>
      <c r="S221" s="49"/>
      <c r="T221" s="47"/>
      <c r="U221" s="48"/>
      <c r="V221" s="99"/>
      <c r="W221" s="99"/>
      <c r="X221" s="101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99"/>
      <c r="AI221" s="9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BF221" s="76"/>
    </row>
    <row r="222" spans="1:58" s="46" customFormat="1">
      <c r="A222" s="108"/>
      <c r="B222" s="108"/>
      <c r="C222" s="108"/>
      <c r="D222" s="108"/>
      <c r="E222" s="108"/>
      <c r="F222" s="108"/>
      <c r="G222" s="99"/>
      <c r="H222" s="99"/>
      <c r="I222" s="69"/>
      <c r="J222" s="69"/>
      <c r="K222" s="69"/>
      <c r="L222" s="49"/>
      <c r="M222" s="49"/>
      <c r="N222" s="49"/>
      <c r="O222" s="49"/>
      <c r="P222" s="49"/>
      <c r="Q222" s="49"/>
      <c r="R222" s="49"/>
      <c r="S222" s="49"/>
      <c r="T222" s="47"/>
      <c r="U222" s="48"/>
      <c r="V222" s="99"/>
      <c r="W222" s="99"/>
      <c r="X222" s="101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99"/>
      <c r="AI222" s="9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BF222" s="76"/>
    </row>
    <row r="223" spans="1:58" s="46" customFormat="1">
      <c r="A223" s="108"/>
      <c r="B223" s="108"/>
      <c r="C223" s="108"/>
      <c r="D223" s="108"/>
      <c r="E223" s="108"/>
      <c r="F223" s="108"/>
      <c r="G223" s="99"/>
      <c r="H223" s="99"/>
      <c r="I223" s="69"/>
      <c r="J223" s="69"/>
      <c r="K223" s="69"/>
      <c r="L223" s="49"/>
      <c r="M223" s="49"/>
      <c r="N223" s="49"/>
      <c r="O223" s="49"/>
      <c r="P223" s="49"/>
      <c r="Q223" s="49"/>
      <c r="R223" s="49"/>
      <c r="S223" s="49"/>
      <c r="T223" s="47"/>
      <c r="U223" s="48"/>
      <c r="V223" s="99"/>
      <c r="W223" s="99"/>
      <c r="X223" s="101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99"/>
      <c r="AI223" s="9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BF223" s="76"/>
    </row>
    <row r="224" spans="1:58" s="46" customFormat="1">
      <c r="A224" s="108"/>
      <c r="B224" s="108"/>
      <c r="C224" s="108"/>
      <c r="D224" s="108"/>
      <c r="E224" s="108"/>
      <c r="F224" s="108"/>
      <c r="G224" s="99"/>
      <c r="H224" s="99"/>
      <c r="I224" s="69"/>
      <c r="J224" s="69"/>
      <c r="K224" s="69"/>
      <c r="L224" s="49"/>
      <c r="M224" s="49"/>
      <c r="N224" s="49"/>
      <c r="O224" s="49"/>
      <c r="P224" s="49"/>
      <c r="Q224" s="49"/>
      <c r="R224" s="49"/>
      <c r="S224" s="49"/>
      <c r="T224" s="47"/>
      <c r="U224" s="48"/>
      <c r="V224" s="99"/>
      <c r="W224" s="99"/>
      <c r="X224" s="101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99"/>
      <c r="AI224" s="9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BF224" s="76"/>
    </row>
    <row r="225" spans="1:58" s="46" customFormat="1">
      <c r="A225" s="108"/>
      <c r="B225" s="108"/>
      <c r="C225" s="108"/>
      <c r="D225" s="108"/>
      <c r="E225" s="108"/>
      <c r="F225" s="108"/>
      <c r="G225" s="99"/>
      <c r="H225" s="99"/>
      <c r="I225" s="69"/>
      <c r="J225" s="69"/>
      <c r="K225" s="69"/>
      <c r="L225" s="49"/>
      <c r="M225" s="49"/>
      <c r="N225" s="49"/>
      <c r="O225" s="49"/>
      <c r="P225" s="49"/>
      <c r="Q225" s="49"/>
      <c r="R225" s="49"/>
      <c r="S225" s="49"/>
      <c r="T225" s="47"/>
      <c r="U225" s="48"/>
      <c r="V225" s="99"/>
      <c r="W225" s="99"/>
      <c r="X225" s="101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99"/>
      <c r="AI225" s="9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BF225" s="76"/>
    </row>
    <row r="226" spans="1:58" s="46" customFormat="1">
      <c r="A226" s="108"/>
      <c r="B226" s="108"/>
      <c r="C226" s="108"/>
      <c r="D226" s="108"/>
      <c r="E226" s="108"/>
      <c r="F226" s="108"/>
      <c r="G226" s="99"/>
      <c r="H226" s="99"/>
      <c r="I226" s="69"/>
      <c r="J226" s="69"/>
      <c r="K226" s="69"/>
      <c r="L226" s="49"/>
      <c r="M226" s="49"/>
      <c r="N226" s="49"/>
      <c r="O226" s="49"/>
      <c r="P226" s="49"/>
      <c r="Q226" s="49"/>
      <c r="R226" s="49"/>
      <c r="S226" s="49"/>
      <c r="T226" s="47"/>
      <c r="U226" s="48"/>
      <c r="V226" s="99"/>
      <c r="W226" s="99"/>
      <c r="X226" s="101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99"/>
      <c r="AI226" s="9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BF226" s="76"/>
    </row>
    <row r="227" spans="1:58" s="46" customFormat="1">
      <c r="A227" s="108"/>
      <c r="B227" s="108"/>
      <c r="C227" s="108"/>
      <c r="D227" s="108"/>
      <c r="E227" s="108"/>
      <c r="F227" s="108"/>
      <c r="G227" s="99"/>
      <c r="H227" s="99"/>
      <c r="I227" s="69"/>
      <c r="J227" s="69"/>
      <c r="K227" s="69"/>
      <c r="L227" s="49"/>
      <c r="M227" s="49"/>
      <c r="N227" s="49"/>
      <c r="O227" s="49"/>
      <c r="P227" s="49"/>
      <c r="Q227" s="49"/>
      <c r="R227" s="49"/>
      <c r="S227" s="49"/>
      <c r="T227" s="47"/>
      <c r="U227" s="48"/>
      <c r="V227" s="99"/>
      <c r="W227" s="99"/>
      <c r="X227" s="101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99"/>
      <c r="AI227" s="9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BF227" s="76"/>
    </row>
    <row r="228" spans="1:58" s="46" customFormat="1">
      <c r="A228" s="108"/>
      <c r="B228" s="108"/>
      <c r="C228" s="108"/>
      <c r="D228" s="108"/>
      <c r="E228" s="108"/>
      <c r="F228" s="108"/>
      <c r="G228" s="99"/>
      <c r="H228" s="99"/>
      <c r="I228" s="69"/>
      <c r="J228" s="69"/>
      <c r="K228" s="69"/>
      <c r="L228" s="49"/>
      <c r="M228" s="49"/>
      <c r="N228" s="49"/>
      <c r="O228" s="49"/>
      <c r="P228" s="49"/>
      <c r="Q228" s="49"/>
      <c r="R228" s="49"/>
      <c r="S228" s="49"/>
      <c r="T228" s="47"/>
      <c r="U228" s="48"/>
      <c r="V228" s="99"/>
      <c r="W228" s="99"/>
      <c r="X228" s="101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99"/>
      <c r="AI228" s="9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BF228" s="76"/>
    </row>
    <row r="229" spans="1:58" s="46" customFormat="1">
      <c r="A229" s="108"/>
      <c r="B229" s="108"/>
      <c r="C229" s="108"/>
      <c r="D229" s="108"/>
      <c r="E229" s="108"/>
      <c r="F229" s="108"/>
      <c r="G229" s="99"/>
      <c r="H229" s="99"/>
      <c r="I229" s="69"/>
      <c r="J229" s="69"/>
      <c r="K229" s="69"/>
      <c r="L229" s="49"/>
      <c r="M229" s="49"/>
      <c r="N229" s="49"/>
      <c r="O229" s="49"/>
      <c r="P229" s="49"/>
      <c r="Q229" s="49"/>
      <c r="R229" s="49"/>
      <c r="S229" s="49"/>
      <c r="T229" s="47"/>
      <c r="U229" s="48"/>
      <c r="V229" s="99"/>
      <c r="W229" s="99"/>
      <c r="X229" s="101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99"/>
      <c r="AI229" s="9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BF229" s="76"/>
    </row>
    <row r="230" spans="1:58" s="46" customFormat="1">
      <c r="A230" s="108"/>
      <c r="B230" s="108"/>
      <c r="C230" s="108"/>
      <c r="D230" s="108"/>
      <c r="E230" s="108"/>
      <c r="F230" s="108"/>
      <c r="G230" s="99"/>
      <c r="H230" s="99"/>
      <c r="I230" s="69"/>
      <c r="J230" s="69"/>
      <c r="K230" s="69"/>
      <c r="L230" s="49"/>
      <c r="M230" s="49"/>
      <c r="N230" s="49"/>
      <c r="O230" s="49"/>
      <c r="P230" s="49"/>
      <c r="Q230" s="49"/>
      <c r="R230" s="49"/>
      <c r="S230" s="49"/>
      <c r="T230" s="47"/>
      <c r="U230" s="48"/>
      <c r="V230" s="99"/>
      <c r="W230" s="99"/>
      <c r="X230" s="101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99"/>
      <c r="AI230" s="9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BF230" s="76"/>
    </row>
    <row r="231" spans="1:58" s="46" customFormat="1">
      <c r="A231" s="108"/>
      <c r="B231" s="108"/>
      <c r="C231" s="108"/>
      <c r="D231" s="108"/>
      <c r="E231" s="108"/>
      <c r="F231" s="108"/>
      <c r="G231" s="99"/>
      <c r="H231" s="99"/>
      <c r="I231" s="69"/>
      <c r="J231" s="69"/>
      <c r="K231" s="69"/>
      <c r="L231" s="49"/>
      <c r="M231" s="49"/>
      <c r="N231" s="49"/>
      <c r="O231" s="49"/>
      <c r="P231" s="49"/>
      <c r="Q231" s="49"/>
      <c r="R231" s="49"/>
      <c r="S231" s="49"/>
      <c r="T231" s="47"/>
      <c r="U231" s="48"/>
      <c r="V231" s="99"/>
      <c r="W231" s="99"/>
      <c r="X231" s="101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99"/>
      <c r="AI231" s="9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BF231" s="76"/>
    </row>
    <row r="232" spans="1:58" s="46" customFormat="1">
      <c r="A232" s="108"/>
      <c r="B232" s="108"/>
      <c r="C232" s="108"/>
      <c r="D232" s="108"/>
      <c r="E232" s="108"/>
      <c r="F232" s="108"/>
      <c r="G232" s="99"/>
      <c r="H232" s="99"/>
      <c r="I232" s="69"/>
      <c r="J232" s="69"/>
      <c r="K232" s="69"/>
      <c r="L232" s="49"/>
      <c r="M232" s="49"/>
      <c r="N232" s="49"/>
      <c r="O232" s="49"/>
      <c r="P232" s="49"/>
      <c r="Q232" s="49"/>
      <c r="R232" s="49"/>
      <c r="S232" s="49"/>
      <c r="T232" s="47"/>
      <c r="U232" s="48"/>
      <c r="V232" s="99"/>
      <c r="W232" s="99"/>
      <c r="X232" s="101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99"/>
      <c r="AI232" s="9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BF232" s="76"/>
    </row>
    <row r="233" spans="1:58" s="46" customFormat="1">
      <c r="A233" s="108"/>
      <c r="B233" s="108"/>
      <c r="C233" s="108"/>
      <c r="D233" s="108"/>
      <c r="E233" s="108"/>
      <c r="F233" s="108"/>
      <c r="G233" s="99"/>
      <c r="H233" s="99"/>
      <c r="I233" s="69"/>
      <c r="J233" s="69"/>
      <c r="K233" s="69"/>
      <c r="L233" s="49"/>
      <c r="M233" s="49"/>
      <c r="N233" s="49"/>
      <c r="O233" s="49"/>
      <c r="P233" s="49"/>
      <c r="Q233" s="49"/>
      <c r="R233" s="49"/>
      <c r="S233" s="49"/>
      <c r="T233" s="47"/>
      <c r="U233" s="48"/>
      <c r="V233" s="99"/>
      <c r="W233" s="99"/>
      <c r="X233" s="101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99"/>
      <c r="AI233" s="9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BF233" s="76"/>
    </row>
    <row r="234" spans="1:58" s="46" customFormat="1">
      <c r="A234" s="108"/>
      <c r="B234" s="108"/>
      <c r="C234" s="108"/>
      <c r="D234" s="108"/>
      <c r="E234" s="108"/>
      <c r="F234" s="108"/>
      <c r="G234" s="99"/>
      <c r="H234" s="99"/>
      <c r="I234" s="69"/>
      <c r="J234" s="69"/>
      <c r="K234" s="69"/>
      <c r="L234" s="49"/>
      <c r="M234" s="49"/>
      <c r="N234" s="49"/>
      <c r="O234" s="49"/>
      <c r="P234" s="49"/>
      <c r="Q234" s="49"/>
      <c r="R234" s="49"/>
      <c r="S234" s="49"/>
      <c r="T234" s="47"/>
      <c r="U234" s="48"/>
      <c r="V234" s="99"/>
      <c r="W234" s="99"/>
      <c r="X234" s="101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99"/>
      <c r="AI234" s="9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BF234" s="76"/>
    </row>
    <row r="235" spans="1:58" s="46" customFormat="1">
      <c r="A235" s="108"/>
      <c r="B235" s="108"/>
      <c r="C235" s="108"/>
      <c r="D235" s="108"/>
      <c r="E235" s="108"/>
      <c r="F235" s="108"/>
      <c r="G235" s="99"/>
      <c r="H235" s="99"/>
      <c r="I235" s="69"/>
      <c r="J235" s="69"/>
      <c r="K235" s="69"/>
      <c r="L235" s="49"/>
      <c r="M235" s="49"/>
      <c r="N235" s="49"/>
      <c r="O235" s="49"/>
      <c r="P235" s="49"/>
      <c r="Q235" s="49"/>
      <c r="R235" s="49"/>
      <c r="S235" s="49"/>
      <c r="T235" s="47"/>
      <c r="U235" s="48"/>
      <c r="V235" s="99"/>
      <c r="W235" s="99"/>
      <c r="X235" s="101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99"/>
      <c r="AI235" s="9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BF235" s="76"/>
    </row>
    <row r="236" spans="1:58" s="46" customFormat="1">
      <c r="A236" s="108"/>
      <c r="B236" s="108"/>
      <c r="C236" s="108"/>
      <c r="D236" s="108"/>
      <c r="E236" s="108"/>
      <c r="F236" s="108"/>
      <c r="G236" s="99"/>
      <c r="H236" s="99"/>
      <c r="I236" s="69"/>
      <c r="J236" s="69"/>
      <c r="K236" s="69"/>
      <c r="L236" s="49"/>
      <c r="M236" s="49"/>
      <c r="N236" s="49"/>
      <c r="O236" s="49"/>
      <c r="P236" s="49"/>
      <c r="Q236" s="49"/>
      <c r="R236" s="49"/>
      <c r="S236" s="49"/>
      <c r="T236" s="47"/>
      <c r="U236" s="48"/>
      <c r="V236" s="99"/>
      <c r="W236" s="99"/>
      <c r="X236" s="101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99"/>
      <c r="AI236" s="9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BF236" s="76"/>
    </row>
    <row r="237" spans="1:58" s="46" customFormat="1">
      <c r="A237" s="108"/>
      <c r="B237" s="108"/>
      <c r="C237" s="108"/>
      <c r="D237" s="108"/>
      <c r="E237" s="108"/>
      <c r="F237" s="108"/>
      <c r="G237" s="99"/>
      <c r="H237" s="99"/>
      <c r="I237" s="69"/>
      <c r="J237" s="69"/>
      <c r="K237" s="69"/>
      <c r="L237" s="49"/>
      <c r="M237" s="49"/>
      <c r="N237" s="49"/>
      <c r="O237" s="49"/>
      <c r="P237" s="49"/>
      <c r="Q237" s="49"/>
      <c r="R237" s="49"/>
      <c r="S237" s="49"/>
      <c r="T237" s="47"/>
      <c r="U237" s="48"/>
      <c r="V237" s="99"/>
      <c r="W237" s="99"/>
      <c r="X237" s="101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99"/>
      <c r="AI237" s="9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BF237" s="76"/>
    </row>
    <row r="238" spans="1:58" s="46" customFormat="1">
      <c r="A238" s="108"/>
      <c r="B238" s="108"/>
      <c r="C238" s="108"/>
      <c r="D238" s="108"/>
      <c r="E238" s="108"/>
      <c r="F238" s="108"/>
      <c r="G238" s="99"/>
      <c r="H238" s="99"/>
      <c r="I238" s="69"/>
      <c r="J238" s="69"/>
      <c r="K238" s="69"/>
      <c r="L238" s="49"/>
      <c r="M238" s="49"/>
      <c r="N238" s="49"/>
      <c r="O238" s="49"/>
      <c r="P238" s="49"/>
      <c r="Q238" s="49"/>
      <c r="R238" s="49"/>
      <c r="S238" s="49"/>
      <c r="T238" s="47"/>
      <c r="U238" s="48"/>
      <c r="V238" s="99"/>
      <c r="W238" s="99"/>
      <c r="X238" s="101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99"/>
      <c r="AI238" s="9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BF238" s="76"/>
    </row>
    <row r="239" spans="1:58" s="46" customFormat="1">
      <c r="A239" s="108"/>
      <c r="B239" s="108"/>
      <c r="C239" s="108"/>
      <c r="D239" s="108"/>
      <c r="E239" s="108"/>
      <c r="F239" s="108"/>
      <c r="G239" s="99"/>
      <c r="H239" s="99"/>
      <c r="I239" s="69"/>
      <c r="J239" s="69"/>
      <c r="K239" s="69"/>
      <c r="L239" s="49"/>
      <c r="M239" s="49"/>
      <c r="N239" s="49"/>
      <c r="O239" s="49"/>
      <c r="P239" s="49"/>
      <c r="Q239" s="49"/>
      <c r="R239" s="49"/>
      <c r="S239" s="49"/>
      <c r="T239" s="47"/>
      <c r="U239" s="48"/>
      <c r="V239" s="99"/>
      <c r="W239" s="99"/>
      <c r="X239" s="101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99"/>
      <c r="AI239" s="9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BF239" s="76"/>
    </row>
    <row r="240" spans="1:58" s="46" customFormat="1">
      <c r="A240" s="108"/>
      <c r="B240" s="108"/>
      <c r="C240" s="108"/>
      <c r="D240" s="108"/>
      <c r="E240" s="108"/>
      <c r="F240" s="108"/>
      <c r="G240" s="99"/>
      <c r="H240" s="99"/>
      <c r="I240" s="69"/>
      <c r="J240" s="69"/>
      <c r="K240" s="69"/>
      <c r="L240" s="49"/>
      <c r="M240" s="49"/>
      <c r="N240" s="49"/>
      <c r="O240" s="49"/>
      <c r="P240" s="49"/>
      <c r="Q240" s="49"/>
      <c r="R240" s="49"/>
      <c r="S240" s="49"/>
      <c r="T240" s="47"/>
      <c r="U240" s="48"/>
      <c r="V240" s="99"/>
      <c r="W240" s="99"/>
      <c r="X240" s="101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99"/>
      <c r="AI240" s="9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BF240" s="76"/>
    </row>
    <row r="241" spans="1:58" s="46" customFormat="1">
      <c r="A241" s="108"/>
      <c r="B241" s="108"/>
      <c r="C241" s="108"/>
      <c r="D241" s="108"/>
      <c r="E241" s="108"/>
      <c r="F241" s="108"/>
      <c r="G241" s="99"/>
      <c r="H241" s="99"/>
      <c r="I241" s="69"/>
      <c r="J241" s="69"/>
      <c r="K241" s="69"/>
      <c r="L241" s="49"/>
      <c r="M241" s="49"/>
      <c r="N241" s="49"/>
      <c r="O241" s="49"/>
      <c r="P241" s="49"/>
      <c r="Q241" s="49"/>
      <c r="R241" s="49"/>
      <c r="S241" s="49"/>
      <c r="T241" s="47"/>
      <c r="U241" s="48"/>
      <c r="V241" s="99"/>
      <c r="W241" s="99"/>
      <c r="X241" s="101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99"/>
      <c r="AI241" s="9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BF241" s="76"/>
    </row>
    <row r="242" spans="1:58" s="46" customFormat="1">
      <c r="A242" s="108"/>
      <c r="B242" s="108"/>
      <c r="C242" s="108"/>
      <c r="D242" s="108"/>
      <c r="E242" s="108"/>
      <c r="F242" s="108"/>
      <c r="G242" s="99"/>
      <c r="H242" s="99"/>
      <c r="I242" s="69"/>
      <c r="J242" s="69"/>
      <c r="K242" s="69"/>
      <c r="L242" s="49"/>
      <c r="M242" s="49"/>
      <c r="N242" s="49"/>
      <c r="O242" s="49"/>
      <c r="P242" s="49"/>
      <c r="Q242" s="49"/>
      <c r="R242" s="49"/>
      <c r="S242" s="49"/>
      <c r="T242" s="47"/>
      <c r="U242" s="48"/>
      <c r="V242" s="99"/>
      <c r="W242" s="99"/>
      <c r="X242" s="101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99"/>
      <c r="AI242" s="9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BF242" s="76"/>
    </row>
    <row r="243" spans="1:58" s="46" customFormat="1">
      <c r="A243" s="108"/>
      <c r="B243" s="108"/>
      <c r="C243" s="108"/>
      <c r="D243" s="108"/>
      <c r="E243" s="108"/>
      <c r="F243" s="108"/>
      <c r="G243" s="99"/>
      <c r="H243" s="99"/>
      <c r="I243" s="69"/>
      <c r="J243" s="69"/>
      <c r="K243" s="69"/>
      <c r="L243" s="49"/>
      <c r="M243" s="49"/>
      <c r="N243" s="49"/>
      <c r="O243" s="49"/>
      <c r="P243" s="49"/>
      <c r="Q243" s="49"/>
      <c r="R243" s="49"/>
      <c r="S243" s="49"/>
      <c r="T243" s="47"/>
      <c r="U243" s="48"/>
      <c r="V243" s="99"/>
      <c r="W243" s="99"/>
      <c r="X243" s="101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99"/>
      <c r="AI243" s="9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BF243" s="76"/>
    </row>
    <row r="244" spans="1:58" s="46" customFormat="1">
      <c r="A244" s="108"/>
      <c r="B244" s="108"/>
      <c r="C244" s="108"/>
      <c r="D244" s="108"/>
      <c r="E244" s="108"/>
      <c r="F244" s="108"/>
      <c r="G244" s="99"/>
      <c r="H244" s="99"/>
      <c r="I244" s="69"/>
      <c r="J244" s="69"/>
      <c r="K244" s="69"/>
      <c r="L244" s="49"/>
      <c r="M244" s="49"/>
      <c r="N244" s="49"/>
      <c r="O244" s="49"/>
      <c r="P244" s="49"/>
      <c r="Q244" s="49"/>
      <c r="R244" s="49"/>
      <c r="S244" s="49"/>
      <c r="T244" s="47"/>
      <c r="U244" s="48"/>
      <c r="V244" s="99"/>
      <c r="W244" s="99"/>
      <c r="X244" s="101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99"/>
      <c r="AI244" s="9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BF244" s="76"/>
    </row>
    <row r="245" spans="1:58" s="46" customFormat="1">
      <c r="A245" s="108"/>
      <c r="B245" s="108"/>
      <c r="C245" s="108"/>
      <c r="D245" s="108"/>
      <c r="E245" s="108"/>
      <c r="F245" s="108"/>
      <c r="G245" s="99"/>
      <c r="H245" s="99"/>
      <c r="I245" s="69"/>
      <c r="J245" s="69"/>
      <c r="K245" s="69"/>
      <c r="L245" s="49"/>
      <c r="M245" s="49"/>
      <c r="N245" s="49"/>
      <c r="O245" s="49"/>
      <c r="P245" s="49"/>
      <c r="Q245" s="49"/>
      <c r="R245" s="49"/>
      <c r="S245" s="49"/>
      <c r="T245" s="47"/>
      <c r="U245" s="48"/>
      <c r="V245" s="99"/>
      <c r="W245" s="99"/>
      <c r="X245" s="101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99"/>
      <c r="AI245" s="9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BF245" s="76"/>
    </row>
    <row r="246" spans="1:58" s="46" customFormat="1">
      <c r="A246" s="108"/>
      <c r="B246" s="108"/>
      <c r="C246" s="108"/>
      <c r="D246" s="108"/>
      <c r="E246" s="108"/>
      <c r="F246" s="108"/>
      <c r="G246" s="99"/>
      <c r="H246" s="99"/>
      <c r="I246" s="69"/>
      <c r="J246" s="69"/>
      <c r="K246" s="69"/>
      <c r="L246" s="49"/>
      <c r="M246" s="49"/>
      <c r="N246" s="49"/>
      <c r="O246" s="49"/>
      <c r="P246" s="49"/>
      <c r="Q246" s="49"/>
      <c r="R246" s="49"/>
      <c r="S246" s="49"/>
      <c r="T246" s="47"/>
      <c r="U246" s="48"/>
      <c r="V246" s="99"/>
      <c r="W246" s="99"/>
      <c r="X246" s="101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99"/>
      <c r="AI246" s="9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BF246" s="76"/>
    </row>
    <row r="247" spans="1:58" s="46" customFormat="1">
      <c r="A247" s="108"/>
      <c r="B247" s="108"/>
      <c r="C247" s="108"/>
      <c r="D247" s="108"/>
      <c r="E247" s="108"/>
      <c r="F247" s="108"/>
      <c r="G247" s="99"/>
      <c r="H247" s="99"/>
      <c r="I247" s="69"/>
      <c r="J247" s="69"/>
      <c r="K247" s="69"/>
      <c r="L247" s="49"/>
      <c r="M247" s="49"/>
      <c r="N247" s="49"/>
      <c r="O247" s="49"/>
      <c r="P247" s="49"/>
      <c r="Q247" s="49"/>
      <c r="R247" s="49"/>
      <c r="S247" s="49"/>
      <c r="T247" s="47"/>
      <c r="U247" s="48"/>
      <c r="V247" s="99"/>
      <c r="W247" s="99"/>
      <c r="X247" s="101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99"/>
      <c r="AI247" s="9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BF247" s="76"/>
    </row>
    <row r="248" spans="1:58" s="46" customFormat="1">
      <c r="A248" s="108"/>
      <c r="B248" s="108"/>
      <c r="C248" s="108"/>
      <c r="D248" s="108"/>
      <c r="E248" s="108"/>
      <c r="F248" s="108"/>
      <c r="G248" s="99"/>
      <c r="H248" s="99"/>
      <c r="I248" s="69"/>
      <c r="J248" s="69"/>
      <c r="K248" s="69"/>
      <c r="L248" s="49"/>
      <c r="M248" s="49"/>
      <c r="N248" s="49"/>
      <c r="O248" s="49"/>
      <c r="P248" s="49"/>
      <c r="Q248" s="49"/>
      <c r="R248" s="49"/>
      <c r="S248" s="49"/>
      <c r="T248" s="47"/>
      <c r="U248" s="48"/>
      <c r="V248" s="99"/>
      <c r="W248" s="99"/>
      <c r="X248" s="101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99"/>
      <c r="AI248" s="9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BF248" s="76"/>
    </row>
    <row r="249" spans="1:58" s="46" customFormat="1">
      <c r="A249" s="108"/>
      <c r="B249" s="108"/>
      <c r="C249" s="108"/>
      <c r="D249" s="108"/>
      <c r="E249" s="108"/>
      <c r="F249" s="108"/>
      <c r="G249" s="99"/>
      <c r="H249" s="99"/>
      <c r="I249" s="69"/>
      <c r="J249" s="69"/>
      <c r="K249" s="69"/>
      <c r="L249" s="49"/>
      <c r="M249" s="49"/>
      <c r="N249" s="49"/>
      <c r="O249" s="49"/>
      <c r="P249" s="49"/>
      <c r="Q249" s="49"/>
      <c r="R249" s="49"/>
      <c r="S249" s="49"/>
      <c r="T249" s="47"/>
      <c r="U249" s="48"/>
      <c r="V249" s="99"/>
      <c r="W249" s="99"/>
      <c r="X249" s="101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99"/>
      <c r="AI249" s="9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BF249" s="76"/>
    </row>
    <row r="250" spans="1:58" s="46" customFormat="1">
      <c r="A250" s="108"/>
      <c r="B250" s="108"/>
      <c r="C250" s="108"/>
      <c r="D250" s="108"/>
      <c r="E250" s="108"/>
      <c r="F250" s="108"/>
      <c r="G250" s="99"/>
      <c r="H250" s="99"/>
      <c r="I250" s="69"/>
      <c r="J250" s="69"/>
      <c r="K250" s="69"/>
      <c r="L250" s="49"/>
      <c r="M250" s="49"/>
      <c r="N250" s="49"/>
      <c r="O250" s="49"/>
      <c r="P250" s="49"/>
      <c r="Q250" s="49"/>
      <c r="R250" s="49"/>
      <c r="S250" s="49"/>
      <c r="T250" s="47"/>
      <c r="U250" s="48"/>
      <c r="V250" s="99"/>
      <c r="W250" s="99"/>
      <c r="X250" s="101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99"/>
      <c r="AI250" s="9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BF250" s="76"/>
    </row>
    <row r="251" spans="1:58" s="46" customFormat="1">
      <c r="A251" s="108"/>
      <c r="B251" s="108"/>
      <c r="C251" s="108"/>
      <c r="D251" s="108"/>
      <c r="E251" s="108"/>
      <c r="F251" s="108"/>
      <c r="G251" s="99"/>
      <c r="H251" s="99"/>
      <c r="I251" s="69"/>
      <c r="J251" s="69"/>
      <c r="K251" s="69"/>
      <c r="L251" s="49"/>
      <c r="M251" s="49"/>
      <c r="N251" s="49"/>
      <c r="O251" s="49"/>
      <c r="P251" s="49"/>
      <c r="Q251" s="49"/>
      <c r="R251" s="49"/>
      <c r="S251" s="49"/>
      <c r="T251" s="47"/>
      <c r="U251" s="48"/>
      <c r="V251" s="99"/>
      <c r="W251" s="99"/>
      <c r="X251" s="101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99"/>
      <c r="AI251" s="9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BF251" s="76"/>
    </row>
    <row r="252" spans="1:58" s="46" customFormat="1">
      <c r="A252" s="108"/>
      <c r="B252" s="108"/>
      <c r="C252" s="108"/>
      <c r="D252" s="108"/>
      <c r="E252" s="108"/>
      <c r="F252" s="108"/>
      <c r="G252" s="99"/>
      <c r="H252" s="99"/>
      <c r="I252" s="69"/>
      <c r="J252" s="69"/>
      <c r="K252" s="69"/>
      <c r="L252" s="49"/>
      <c r="M252" s="49"/>
      <c r="N252" s="49"/>
      <c r="O252" s="49"/>
      <c r="P252" s="49"/>
      <c r="Q252" s="49"/>
      <c r="R252" s="49"/>
      <c r="S252" s="49"/>
      <c r="T252" s="47"/>
      <c r="U252" s="48"/>
      <c r="V252" s="99"/>
      <c r="W252" s="99"/>
      <c r="X252" s="101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99"/>
      <c r="AI252" s="9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BF252" s="76"/>
    </row>
    <row r="253" spans="1:58" s="46" customFormat="1">
      <c r="A253" s="108"/>
      <c r="B253" s="108"/>
      <c r="C253" s="108"/>
      <c r="D253" s="108"/>
      <c r="E253" s="108"/>
      <c r="F253" s="108"/>
      <c r="G253" s="99"/>
      <c r="H253" s="99"/>
      <c r="I253" s="69"/>
      <c r="J253" s="69"/>
      <c r="K253" s="69"/>
      <c r="L253" s="49"/>
      <c r="M253" s="49"/>
      <c r="N253" s="49"/>
      <c r="O253" s="49"/>
      <c r="P253" s="49"/>
      <c r="Q253" s="49"/>
      <c r="R253" s="49"/>
      <c r="S253" s="49"/>
      <c r="T253" s="47"/>
      <c r="U253" s="48"/>
      <c r="V253" s="99"/>
      <c r="W253" s="99"/>
      <c r="X253" s="101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99"/>
      <c r="AI253" s="9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BF253" s="76"/>
    </row>
    <row r="254" spans="1:58" s="46" customFormat="1">
      <c r="A254" s="108"/>
      <c r="B254" s="108"/>
      <c r="C254" s="108"/>
      <c r="D254" s="108"/>
      <c r="E254" s="108"/>
      <c r="F254" s="108"/>
      <c r="G254" s="99"/>
      <c r="H254" s="99"/>
      <c r="I254" s="69"/>
      <c r="J254" s="69"/>
      <c r="K254" s="69"/>
      <c r="L254" s="49"/>
      <c r="M254" s="49"/>
      <c r="N254" s="49"/>
      <c r="O254" s="49"/>
      <c r="P254" s="49"/>
      <c r="Q254" s="49"/>
      <c r="R254" s="49"/>
      <c r="S254" s="49"/>
      <c r="T254" s="47"/>
      <c r="U254" s="48"/>
      <c r="V254" s="99"/>
      <c r="W254" s="99"/>
      <c r="X254" s="101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99"/>
      <c r="AI254" s="9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BF254" s="76"/>
    </row>
    <row r="255" spans="1:58" s="46" customFormat="1">
      <c r="A255" s="108"/>
      <c r="B255" s="108"/>
      <c r="C255" s="108"/>
      <c r="D255" s="108"/>
      <c r="E255" s="108"/>
      <c r="F255" s="108"/>
      <c r="G255" s="99"/>
      <c r="H255" s="99"/>
      <c r="I255" s="69"/>
      <c r="J255" s="69"/>
      <c r="K255" s="69"/>
      <c r="L255" s="49"/>
      <c r="M255" s="49"/>
      <c r="N255" s="49"/>
      <c r="O255" s="49"/>
      <c r="P255" s="49"/>
      <c r="Q255" s="49"/>
      <c r="R255" s="49"/>
      <c r="S255" s="49"/>
      <c r="T255" s="47"/>
      <c r="U255" s="48"/>
      <c r="V255" s="99"/>
      <c r="W255" s="99"/>
      <c r="X255" s="101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99"/>
      <c r="AI255" s="9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BF255" s="76"/>
    </row>
    <row r="256" spans="1:58" s="46" customFormat="1">
      <c r="A256" s="108"/>
      <c r="B256" s="108"/>
      <c r="C256" s="108"/>
      <c r="D256" s="108"/>
      <c r="E256" s="108"/>
      <c r="F256" s="108"/>
      <c r="G256" s="99"/>
      <c r="H256" s="99"/>
      <c r="I256" s="69"/>
      <c r="J256" s="69"/>
      <c r="K256" s="69"/>
      <c r="L256" s="49"/>
      <c r="M256" s="49"/>
      <c r="N256" s="49"/>
      <c r="O256" s="49"/>
      <c r="P256" s="49"/>
      <c r="Q256" s="49"/>
      <c r="R256" s="49"/>
      <c r="S256" s="49"/>
      <c r="T256" s="47"/>
      <c r="U256" s="48"/>
      <c r="V256" s="99"/>
      <c r="W256" s="99"/>
      <c r="X256" s="101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99"/>
      <c r="AI256" s="9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BF256" s="76"/>
    </row>
    <row r="257" spans="1:58" s="46" customFormat="1">
      <c r="A257" s="108"/>
      <c r="B257" s="108"/>
      <c r="C257" s="108"/>
      <c r="D257" s="108"/>
      <c r="E257" s="108"/>
      <c r="F257" s="108"/>
      <c r="G257" s="99"/>
      <c r="H257" s="99"/>
      <c r="I257" s="69"/>
      <c r="J257" s="69"/>
      <c r="K257" s="69"/>
      <c r="L257" s="49"/>
      <c r="M257" s="49"/>
      <c r="N257" s="49"/>
      <c r="O257" s="49"/>
      <c r="P257" s="49"/>
      <c r="Q257" s="49"/>
      <c r="R257" s="49"/>
      <c r="S257" s="49"/>
      <c r="T257" s="47"/>
      <c r="U257" s="48"/>
      <c r="V257" s="99"/>
      <c r="W257" s="99"/>
      <c r="X257" s="101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99"/>
      <c r="AI257" s="9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BF257" s="76"/>
    </row>
    <row r="258" spans="1:58" s="46" customFormat="1">
      <c r="A258" s="108"/>
      <c r="B258" s="108"/>
      <c r="C258" s="108"/>
      <c r="D258" s="108"/>
      <c r="E258" s="108"/>
      <c r="F258" s="108"/>
      <c r="G258" s="99"/>
      <c r="H258" s="99"/>
      <c r="I258" s="69"/>
      <c r="J258" s="69"/>
      <c r="K258" s="69"/>
      <c r="L258" s="49"/>
      <c r="M258" s="49"/>
      <c r="N258" s="49"/>
      <c r="O258" s="49"/>
      <c r="P258" s="49"/>
      <c r="Q258" s="49"/>
      <c r="R258" s="49"/>
      <c r="S258" s="49"/>
      <c r="T258" s="47"/>
      <c r="U258" s="48"/>
      <c r="V258" s="99"/>
      <c r="W258" s="99"/>
      <c r="X258" s="101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99"/>
      <c r="AI258" s="9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BF258" s="76"/>
    </row>
    <row r="259" spans="1:58" s="46" customFormat="1">
      <c r="A259" s="108"/>
      <c r="B259" s="108"/>
      <c r="C259" s="108"/>
      <c r="D259" s="108"/>
      <c r="E259" s="108"/>
      <c r="F259" s="108"/>
      <c r="G259" s="99"/>
      <c r="H259" s="99"/>
      <c r="I259" s="69"/>
      <c r="J259" s="69"/>
      <c r="K259" s="69"/>
      <c r="L259" s="49"/>
      <c r="M259" s="49"/>
      <c r="N259" s="49"/>
      <c r="O259" s="49"/>
      <c r="P259" s="49"/>
      <c r="Q259" s="49"/>
      <c r="R259" s="49"/>
      <c r="S259" s="49"/>
      <c r="T259" s="47"/>
      <c r="U259" s="48"/>
      <c r="V259" s="99"/>
      <c r="W259" s="99"/>
      <c r="X259" s="101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99"/>
      <c r="AI259" s="9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BF259" s="76"/>
    </row>
    <row r="260" spans="1:58" s="46" customFormat="1">
      <c r="A260" s="108"/>
      <c r="B260" s="108"/>
      <c r="C260" s="108"/>
      <c r="D260" s="108"/>
      <c r="E260" s="108"/>
      <c r="F260" s="108"/>
      <c r="G260" s="99"/>
      <c r="H260" s="99"/>
      <c r="I260" s="69"/>
      <c r="J260" s="69"/>
      <c r="K260" s="69"/>
      <c r="L260" s="49"/>
      <c r="M260" s="49"/>
      <c r="N260" s="49"/>
      <c r="O260" s="49"/>
      <c r="P260" s="49"/>
      <c r="Q260" s="49"/>
      <c r="R260" s="49"/>
      <c r="S260" s="49"/>
      <c r="T260" s="47"/>
      <c r="U260" s="48"/>
      <c r="V260" s="99"/>
      <c r="W260" s="99"/>
      <c r="X260" s="101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99"/>
      <c r="AI260" s="9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BF260" s="76"/>
    </row>
    <row r="261" spans="1:58" s="46" customFormat="1">
      <c r="A261" s="108"/>
      <c r="B261" s="108"/>
      <c r="C261" s="108"/>
      <c r="D261" s="108"/>
      <c r="E261" s="108"/>
      <c r="F261" s="108"/>
      <c r="G261" s="99"/>
      <c r="H261" s="99"/>
      <c r="I261" s="69"/>
      <c r="J261" s="69"/>
      <c r="K261" s="69"/>
      <c r="L261" s="49"/>
      <c r="M261" s="49"/>
      <c r="N261" s="49"/>
      <c r="O261" s="49"/>
      <c r="P261" s="49"/>
      <c r="Q261" s="49"/>
      <c r="R261" s="49"/>
      <c r="S261" s="49"/>
      <c r="T261" s="47"/>
      <c r="U261" s="48"/>
      <c r="V261" s="99"/>
      <c r="W261" s="99"/>
      <c r="X261" s="101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99"/>
      <c r="AI261" s="9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BF261" s="76"/>
    </row>
    <row r="262" spans="1:58" s="46" customFormat="1">
      <c r="A262" s="108"/>
      <c r="B262" s="108"/>
      <c r="C262" s="108"/>
      <c r="D262" s="108"/>
      <c r="E262" s="108"/>
      <c r="F262" s="108"/>
      <c r="G262" s="99"/>
      <c r="H262" s="99"/>
      <c r="I262" s="69"/>
      <c r="J262" s="69"/>
      <c r="K262" s="69"/>
      <c r="L262" s="49"/>
      <c r="M262" s="49"/>
      <c r="N262" s="49"/>
      <c r="O262" s="49"/>
      <c r="P262" s="49"/>
      <c r="Q262" s="49"/>
      <c r="R262" s="49"/>
      <c r="S262" s="49"/>
      <c r="T262" s="47"/>
      <c r="U262" s="48"/>
      <c r="V262" s="99"/>
      <c r="W262" s="99"/>
      <c r="X262" s="101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99"/>
      <c r="AI262" s="9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BF262" s="76"/>
    </row>
    <row r="263" spans="1:58" s="46" customFormat="1">
      <c r="A263" s="108"/>
      <c r="B263" s="108"/>
      <c r="C263" s="108"/>
      <c r="D263" s="108"/>
      <c r="E263" s="108"/>
      <c r="F263" s="108"/>
      <c r="G263" s="99"/>
      <c r="H263" s="99"/>
      <c r="I263" s="69"/>
      <c r="J263" s="69"/>
      <c r="K263" s="69"/>
      <c r="L263" s="49"/>
      <c r="M263" s="49"/>
      <c r="N263" s="49"/>
      <c r="O263" s="49"/>
      <c r="P263" s="49"/>
      <c r="Q263" s="49"/>
      <c r="R263" s="49"/>
      <c r="S263" s="49"/>
      <c r="T263" s="47"/>
      <c r="U263" s="48"/>
      <c r="V263" s="99"/>
      <c r="W263" s="99"/>
      <c r="X263" s="101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99"/>
      <c r="AI263" s="9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BF263" s="76"/>
    </row>
    <row r="264" spans="1:58" s="46" customFormat="1">
      <c r="A264" s="108"/>
      <c r="B264" s="108"/>
      <c r="C264" s="108"/>
      <c r="D264" s="108"/>
      <c r="E264" s="108"/>
      <c r="F264" s="108"/>
      <c r="G264" s="99"/>
      <c r="H264" s="99"/>
      <c r="I264" s="69"/>
      <c r="J264" s="69"/>
      <c r="K264" s="69"/>
      <c r="L264" s="49"/>
      <c r="M264" s="49"/>
      <c r="N264" s="49"/>
      <c r="O264" s="49"/>
      <c r="P264" s="49"/>
      <c r="Q264" s="49"/>
      <c r="R264" s="49"/>
      <c r="S264" s="49"/>
      <c r="T264" s="47"/>
      <c r="U264" s="48"/>
      <c r="V264" s="99"/>
      <c r="W264" s="99"/>
      <c r="X264" s="101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99"/>
      <c r="AI264" s="9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BF264" s="76"/>
    </row>
    <row r="265" spans="1:58" s="46" customFormat="1">
      <c r="A265" s="108"/>
      <c r="B265" s="108"/>
      <c r="C265" s="108"/>
      <c r="D265" s="108"/>
      <c r="E265" s="108"/>
      <c r="F265" s="108"/>
      <c r="G265" s="99"/>
      <c r="H265" s="99"/>
      <c r="I265" s="69"/>
      <c r="J265" s="69"/>
      <c r="K265" s="69"/>
      <c r="L265" s="49"/>
      <c r="M265" s="49"/>
      <c r="N265" s="49"/>
      <c r="O265" s="49"/>
      <c r="P265" s="49"/>
      <c r="Q265" s="49"/>
      <c r="R265" s="49"/>
      <c r="S265" s="49"/>
      <c r="T265" s="47"/>
      <c r="U265" s="48"/>
      <c r="V265" s="99"/>
      <c r="W265" s="99"/>
      <c r="X265" s="101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99"/>
      <c r="AI265" s="9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BF265" s="76"/>
    </row>
    <row r="266" spans="1:58" s="46" customFormat="1">
      <c r="A266" s="108"/>
      <c r="B266" s="108"/>
      <c r="C266" s="108"/>
      <c r="D266" s="108"/>
      <c r="E266" s="108"/>
      <c r="F266" s="108"/>
      <c r="G266" s="99"/>
      <c r="H266" s="99"/>
      <c r="I266" s="69"/>
      <c r="J266" s="69"/>
      <c r="K266" s="69"/>
      <c r="L266" s="49"/>
      <c r="M266" s="49"/>
      <c r="N266" s="49"/>
      <c r="O266" s="49"/>
      <c r="P266" s="49"/>
      <c r="Q266" s="49"/>
      <c r="R266" s="49"/>
      <c r="S266" s="49"/>
      <c r="T266" s="47"/>
      <c r="U266" s="48"/>
      <c r="V266" s="99"/>
      <c r="W266" s="99"/>
      <c r="X266" s="101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99"/>
      <c r="AI266" s="9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BF266" s="76"/>
    </row>
    <row r="267" spans="1:58" s="46" customFormat="1">
      <c r="A267" s="108"/>
      <c r="B267" s="108"/>
      <c r="C267" s="108"/>
      <c r="D267" s="108"/>
      <c r="E267" s="108"/>
      <c r="F267" s="108"/>
      <c r="G267" s="99"/>
      <c r="H267" s="99"/>
      <c r="I267" s="69"/>
      <c r="J267" s="69"/>
      <c r="K267" s="69"/>
      <c r="L267" s="49"/>
      <c r="M267" s="49"/>
      <c r="N267" s="49"/>
      <c r="O267" s="49"/>
      <c r="P267" s="49"/>
      <c r="Q267" s="49"/>
      <c r="R267" s="49"/>
      <c r="S267" s="49"/>
      <c r="T267" s="47"/>
      <c r="U267" s="48"/>
      <c r="V267" s="99"/>
      <c r="W267" s="99"/>
      <c r="X267" s="101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99"/>
      <c r="AI267" s="9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BF267" s="76"/>
    </row>
    <row r="268" spans="1:58" s="46" customFormat="1">
      <c r="A268" s="108"/>
      <c r="B268" s="108"/>
      <c r="C268" s="108"/>
      <c r="D268" s="108"/>
      <c r="E268" s="108"/>
      <c r="F268" s="108"/>
      <c r="G268" s="99"/>
      <c r="H268" s="99"/>
      <c r="I268" s="69"/>
      <c r="J268" s="69"/>
      <c r="K268" s="69"/>
      <c r="L268" s="49"/>
      <c r="M268" s="49"/>
      <c r="N268" s="49"/>
      <c r="O268" s="49"/>
      <c r="P268" s="49"/>
      <c r="Q268" s="49"/>
      <c r="R268" s="49"/>
      <c r="S268" s="49"/>
      <c r="T268" s="47"/>
      <c r="U268" s="48"/>
      <c r="V268" s="99"/>
      <c r="W268" s="99"/>
      <c r="X268" s="101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99"/>
      <c r="AI268" s="9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BF268" s="76"/>
    </row>
    <row r="269" spans="1:58" s="46" customFormat="1">
      <c r="A269" s="108"/>
      <c r="B269" s="108"/>
      <c r="C269" s="108"/>
      <c r="D269" s="108"/>
      <c r="E269" s="108"/>
      <c r="F269" s="108"/>
      <c r="G269" s="99"/>
      <c r="H269" s="99"/>
      <c r="I269" s="69"/>
      <c r="J269" s="69"/>
      <c r="K269" s="69"/>
      <c r="L269" s="49"/>
      <c r="M269" s="49"/>
      <c r="N269" s="49"/>
      <c r="O269" s="49"/>
      <c r="P269" s="49"/>
      <c r="Q269" s="49"/>
      <c r="R269" s="49"/>
      <c r="S269" s="49"/>
      <c r="T269" s="47"/>
      <c r="U269" s="48"/>
      <c r="V269" s="99"/>
      <c r="W269" s="99"/>
      <c r="X269" s="101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99"/>
      <c r="AI269" s="9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BF269" s="76"/>
    </row>
    <row r="270" spans="1:58" s="46" customFormat="1">
      <c r="A270" s="108"/>
      <c r="B270" s="108"/>
      <c r="C270" s="108"/>
      <c r="D270" s="108"/>
      <c r="E270" s="108"/>
      <c r="F270" s="108"/>
      <c r="G270" s="99"/>
      <c r="H270" s="99"/>
      <c r="I270" s="69"/>
      <c r="J270" s="69"/>
      <c r="K270" s="69"/>
      <c r="L270" s="49"/>
      <c r="M270" s="49"/>
      <c r="N270" s="49"/>
      <c r="O270" s="49"/>
      <c r="P270" s="49"/>
      <c r="Q270" s="49"/>
      <c r="R270" s="49"/>
      <c r="S270" s="49"/>
      <c r="T270" s="47"/>
      <c r="U270" s="48"/>
      <c r="V270" s="99"/>
      <c r="W270" s="99"/>
      <c r="X270" s="101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99"/>
      <c r="AI270" s="9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BF270" s="76"/>
    </row>
    <row r="271" spans="1:58" s="46" customFormat="1">
      <c r="A271" s="108"/>
      <c r="B271" s="108"/>
      <c r="C271" s="108"/>
      <c r="D271" s="108"/>
      <c r="E271" s="108"/>
      <c r="F271" s="108"/>
      <c r="G271" s="99"/>
      <c r="H271" s="99"/>
      <c r="I271" s="69"/>
      <c r="J271" s="69"/>
      <c r="K271" s="69"/>
      <c r="L271" s="49"/>
      <c r="M271" s="49"/>
      <c r="N271" s="49"/>
      <c r="O271" s="49"/>
      <c r="P271" s="49"/>
      <c r="Q271" s="49"/>
      <c r="R271" s="49"/>
      <c r="S271" s="49"/>
      <c r="T271" s="47"/>
      <c r="U271" s="48"/>
      <c r="V271" s="99"/>
      <c r="W271" s="99"/>
      <c r="X271" s="101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99"/>
      <c r="AI271" s="9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BF271" s="76"/>
    </row>
    <row r="272" spans="1:58" s="46" customFormat="1">
      <c r="A272" s="108"/>
      <c r="B272" s="108"/>
      <c r="C272" s="108"/>
      <c r="D272" s="108"/>
      <c r="E272" s="108"/>
      <c r="F272" s="108"/>
      <c r="G272" s="99"/>
      <c r="H272" s="99"/>
      <c r="I272" s="69"/>
      <c r="J272" s="69"/>
      <c r="K272" s="69"/>
      <c r="L272" s="49"/>
      <c r="M272" s="49"/>
      <c r="N272" s="49"/>
      <c r="O272" s="49"/>
      <c r="P272" s="49"/>
      <c r="Q272" s="49"/>
      <c r="R272" s="49"/>
      <c r="S272" s="49"/>
      <c r="T272" s="47"/>
      <c r="U272" s="48"/>
      <c r="V272" s="99"/>
      <c r="W272" s="99"/>
      <c r="X272" s="101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99"/>
      <c r="AI272" s="9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BF272" s="76"/>
    </row>
    <row r="273" spans="1:58" s="46" customFormat="1">
      <c r="A273" s="108"/>
      <c r="B273" s="108"/>
      <c r="C273" s="108"/>
      <c r="D273" s="108"/>
      <c r="E273" s="108"/>
      <c r="F273" s="108"/>
      <c r="G273" s="99"/>
      <c r="H273" s="99"/>
      <c r="I273" s="69"/>
      <c r="J273" s="69"/>
      <c r="K273" s="69"/>
      <c r="L273" s="49"/>
      <c r="M273" s="49"/>
      <c r="N273" s="49"/>
      <c r="O273" s="49"/>
      <c r="P273" s="49"/>
      <c r="Q273" s="49"/>
      <c r="R273" s="49"/>
      <c r="S273" s="49"/>
      <c r="T273" s="47"/>
      <c r="U273" s="48"/>
      <c r="V273" s="99"/>
      <c r="W273" s="99"/>
      <c r="X273" s="101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99"/>
      <c r="AI273" s="9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BF273" s="76"/>
    </row>
    <row r="274" spans="1:58" s="46" customFormat="1">
      <c r="A274" s="108"/>
      <c r="B274" s="108"/>
      <c r="C274" s="108"/>
      <c r="D274" s="108"/>
      <c r="E274" s="108"/>
      <c r="F274" s="108"/>
      <c r="G274" s="99"/>
      <c r="H274" s="99"/>
      <c r="I274" s="69"/>
      <c r="J274" s="69"/>
      <c r="K274" s="69"/>
      <c r="L274" s="49"/>
      <c r="M274" s="49"/>
      <c r="N274" s="49"/>
      <c r="O274" s="49"/>
      <c r="P274" s="49"/>
      <c r="Q274" s="49"/>
      <c r="R274" s="49"/>
      <c r="S274" s="49"/>
      <c r="T274" s="47"/>
      <c r="U274" s="48"/>
      <c r="V274" s="99"/>
      <c r="W274" s="99"/>
      <c r="X274" s="101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99"/>
      <c r="AI274" s="9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BF274" s="76"/>
    </row>
    <row r="275" spans="1:58" s="46" customFormat="1">
      <c r="A275" s="108"/>
      <c r="B275" s="108"/>
      <c r="C275" s="108"/>
      <c r="D275" s="108"/>
      <c r="E275" s="108"/>
      <c r="F275" s="108"/>
      <c r="G275" s="99"/>
      <c r="H275" s="99"/>
      <c r="I275" s="69"/>
      <c r="J275" s="69"/>
      <c r="K275" s="69"/>
      <c r="L275" s="49"/>
      <c r="M275" s="49"/>
      <c r="N275" s="49"/>
      <c r="O275" s="49"/>
      <c r="P275" s="49"/>
      <c r="Q275" s="49"/>
      <c r="R275" s="49"/>
      <c r="S275" s="49"/>
      <c r="T275" s="47"/>
      <c r="U275" s="48"/>
      <c r="V275" s="99"/>
      <c r="W275" s="99"/>
      <c r="X275" s="101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99"/>
      <c r="AI275" s="9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BF275" s="76"/>
    </row>
    <row r="276" spans="1:58" s="46" customFormat="1">
      <c r="A276" s="108"/>
      <c r="B276" s="108"/>
      <c r="C276" s="108"/>
      <c r="D276" s="108"/>
      <c r="E276" s="108"/>
      <c r="F276" s="108"/>
      <c r="G276" s="99"/>
      <c r="H276" s="99"/>
      <c r="I276" s="69"/>
      <c r="J276" s="69"/>
      <c r="K276" s="69"/>
      <c r="L276" s="49"/>
      <c r="M276" s="49"/>
      <c r="N276" s="49"/>
      <c r="O276" s="49"/>
      <c r="P276" s="49"/>
      <c r="Q276" s="49"/>
      <c r="R276" s="49"/>
      <c r="S276" s="49"/>
      <c r="T276" s="47"/>
      <c r="U276" s="48"/>
      <c r="V276" s="99"/>
      <c r="W276" s="99"/>
      <c r="X276" s="101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99"/>
      <c r="AI276" s="9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BF276" s="76"/>
    </row>
    <row r="277" spans="1:58" s="46" customFormat="1">
      <c r="A277" s="108"/>
      <c r="B277" s="108"/>
      <c r="C277" s="108"/>
      <c r="D277" s="108"/>
      <c r="E277" s="108"/>
      <c r="F277" s="108"/>
      <c r="G277" s="99"/>
      <c r="H277" s="99"/>
      <c r="I277" s="69"/>
      <c r="J277" s="69"/>
      <c r="K277" s="69"/>
      <c r="L277" s="49"/>
      <c r="M277" s="49"/>
      <c r="N277" s="49"/>
      <c r="O277" s="49"/>
      <c r="P277" s="49"/>
      <c r="Q277" s="49"/>
      <c r="R277" s="49"/>
      <c r="S277" s="49"/>
      <c r="T277" s="47"/>
      <c r="U277" s="48"/>
      <c r="V277" s="99"/>
      <c r="W277" s="99"/>
      <c r="X277" s="101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99"/>
      <c r="AI277" s="9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BF277" s="76"/>
    </row>
    <row r="278" spans="1:58" s="46" customFormat="1">
      <c r="A278" s="108"/>
      <c r="B278" s="108"/>
      <c r="C278" s="108"/>
      <c r="D278" s="108"/>
      <c r="E278" s="108"/>
      <c r="F278" s="108"/>
      <c r="G278" s="99"/>
      <c r="H278" s="99"/>
      <c r="I278" s="69"/>
      <c r="J278" s="69"/>
      <c r="K278" s="69"/>
      <c r="L278" s="49"/>
      <c r="M278" s="49"/>
      <c r="N278" s="49"/>
      <c r="O278" s="49"/>
      <c r="P278" s="49"/>
      <c r="Q278" s="49"/>
      <c r="R278" s="49"/>
      <c r="S278" s="49"/>
      <c r="T278" s="47"/>
      <c r="U278" s="48"/>
      <c r="V278" s="99"/>
      <c r="W278" s="99"/>
      <c r="X278" s="101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99"/>
      <c r="AI278" s="9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BF278" s="76"/>
    </row>
    <row r="279" spans="1:58" s="46" customFormat="1">
      <c r="A279" s="108"/>
      <c r="B279" s="108"/>
      <c r="C279" s="108"/>
      <c r="D279" s="108"/>
      <c r="E279" s="108"/>
      <c r="F279" s="108"/>
      <c r="G279" s="99"/>
      <c r="H279" s="99"/>
      <c r="I279" s="69"/>
      <c r="J279" s="69"/>
      <c r="K279" s="69"/>
      <c r="L279" s="49"/>
      <c r="M279" s="49"/>
      <c r="N279" s="49"/>
      <c r="O279" s="49"/>
      <c r="P279" s="49"/>
      <c r="Q279" s="49"/>
      <c r="R279" s="49"/>
      <c r="S279" s="49"/>
      <c r="T279" s="47"/>
      <c r="U279" s="48"/>
      <c r="V279" s="99"/>
      <c r="W279" s="99"/>
      <c r="X279" s="101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99"/>
      <c r="AI279" s="9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BF279" s="76"/>
    </row>
    <row r="280" spans="1:58" s="46" customFormat="1">
      <c r="A280" s="108"/>
      <c r="B280" s="108"/>
      <c r="C280" s="108"/>
      <c r="D280" s="108"/>
      <c r="E280" s="108"/>
      <c r="F280" s="108"/>
      <c r="G280" s="99"/>
      <c r="H280" s="99"/>
      <c r="I280" s="69"/>
      <c r="J280" s="69"/>
      <c r="K280" s="69"/>
      <c r="L280" s="49"/>
      <c r="M280" s="49"/>
      <c r="N280" s="49"/>
      <c r="O280" s="49"/>
      <c r="P280" s="49"/>
      <c r="Q280" s="49"/>
      <c r="R280" s="49"/>
      <c r="S280" s="49"/>
      <c r="T280" s="47"/>
      <c r="U280" s="48"/>
      <c r="V280" s="99"/>
      <c r="W280" s="99"/>
      <c r="X280" s="101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99"/>
      <c r="AI280" s="9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BF280" s="76"/>
    </row>
    <row r="281" spans="1:58" s="46" customFormat="1">
      <c r="A281" s="108"/>
      <c r="B281" s="108"/>
      <c r="C281" s="108"/>
      <c r="D281" s="108"/>
      <c r="E281" s="108"/>
      <c r="F281" s="108"/>
      <c r="G281" s="99"/>
      <c r="H281" s="99"/>
      <c r="I281" s="69"/>
      <c r="J281" s="69"/>
      <c r="K281" s="69"/>
      <c r="L281" s="49"/>
      <c r="M281" s="49"/>
      <c r="N281" s="49"/>
      <c r="O281" s="49"/>
      <c r="P281" s="49"/>
      <c r="Q281" s="49"/>
      <c r="R281" s="49"/>
      <c r="S281" s="49"/>
      <c r="T281" s="47"/>
      <c r="U281" s="48"/>
      <c r="V281" s="99"/>
      <c r="W281" s="99"/>
      <c r="X281" s="101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99"/>
      <c r="AI281" s="9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BF281" s="76"/>
    </row>
    <row r="282" spans="1:58" s="46" customFormat="1">
      <c r="A282" s="108"/>
      <c r="B282" s="108"/>
      <c r="C282" s="108"/>
      <c r="D282" s="108"/>
      <c r="E282" s="108"/>
      <c r="F282" s="108"/>
      <c r="G282" s="99"/>
      <c r="H282" s="99"/>
      <c r="I282" s="69"/>
      <c r="J282" s="69"/>
      <c r="K282" s="69"/>
      <c r="L282" s="49"/>
      <c r="M282" s="49"/>
      <c r="N282" s="49"/>
      <c r="O282" s="49"/>
      <c r="P282" s="49"/>
      <c r="Q282" s="49"/>
      <c r="R282" s="49"/>
      <c r="S282" s="49"/>
      <c r="T282" s="47"/>
      <c r="U282" s="48"/>
      <c r="V282" s="99"/>
      <c r="W282" s="99"/>
      <c r="X282" s="101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99"/>
      <c r="AI282" s="9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BF282" s="76"/>
    </row>
    <row r="283" spans="1:58" s="46" customFormat="1">
      <c r="A283" s="108"/>
      <c r="B283" s="108"/>
      <c r="C283" s="108"/>
      <c r="D283" s="108"/>
      <c r="E283" s="108"/>
      <c r="F283" s="108"/>
      <c r="G283" s="99"/>
      <c r="H283" s="99"/>
      <c r="I283" s="69"/>
      <c r="J283" s="69"/>
      <c r="K283" s="69"/>
      <c r="L283" s="49"/>
      <c r="M283" s="49"/>
      <c r="N283" s="49"/>
      <c r="O283" s="49"/>
      <c r="P283" s="49"/>
      <c r="Q283" s="49"/>
      <c r="R283" s="49"/>
      <c r="S283" s="49"/>
      <c r="T283" s="47"/>
      <c r="U283" s="48"/>
      <c r="V283" s="99"/>
      <c r="W283" s="99"/>
      <c r="X283" s="101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99"/>
      <c r="AI283" s="9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BF283" s="76"/>
    </row>
    <row r="284" spans="1:58" s="46" customFormat="1">
      <c r="A284" s="108"/>
      <c r="B284" s="108"/>
      <c r="C284" s="108"/>
      <c r="D284" s="108"/>
      <c r="E284" s="108"/>
      <c r="F284" s="108"/>
      <c r="G284" s="99"/>
      <c r="H284" s="99"/>
      <c r="I284" s="69"/>
      <c r="J284" s="69"/>
      <c r="K284" s="69"/>
      <c r="L284" s="49"/>
      <c r="M284" s="49"/>
      <c r="N284" s="49"/>
      <c r="O284" s="49"/>
      <c r="P284" s="49"/>
      <c r="Q284" s="49"/>
      <c r="R284" s="49"/>
      <c r="S284" s="49"/>
      <c r="T284" s="47"/>
      <c r="U284" s="48"/>
      <c r="V284" s="99"/>
      <c r="W284" s="99"/>
      <c r="X284" s="101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99"/>
      <c r="AI284" s="9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BF284" s="76"/>
    </row>
    <row r="285" spans="1:58" s="46" customFormat="1">
      <c r="A285" s="108"/>
      <c r="B285" s="108"/>
      <c r="C285" s="108"/>
      <c r="D285" s="108"/>
      <c r="E285" s="108"/>
      <c r="F285" s="108"/>
      <c r="G285" s="99"/>
      <c r="H285" s="99"/>
      <c r="I285" s="69"/>
      <c r="J285" s="69"/>
      <c r="K285" s="69"/>
      <c r="L285" s="49"/>
      <c r="M285" s="49"/>
      <c r="N285" s="49"/>
      <c r="O285" s="49"/>
      <c r="P285" s="49"/>
      <c r="Q285" s="49"/>
      <c r="R285" s="49"/>
      <c r="S285" s="49"/>
      <c r="T285" s="47"/>
      <c r="U285" s="48"/>
      <c r="V285" s="99"/>
      <c r="W285" s="99"/>
      <c r="X285" s="101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99"/>
      <c r="AI285" s="9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BF285" s="76"/>
    </row>
    <row r="286" spans="1:58" s="46" customFormat="1">
      <c r="A286" s="108"/>
      <c r="B286" s="108"/>
      <c r="C286" s="108"/>
      <c r="D286" s="108"/>
      <c r="E286" s="108"/>
      <c r="F286" s="108"/>
      <c r="G286" s="99"/>
      <c r="H286" s="99"/>
      <c r="I286" s="69"/>
      <c r="J286" s="69"/>
      <c r="K286" s="69"/>
      <c r="L286" s="49"/>
      <c r="M286" s="49"/>
      <c r="N286" s="49"/>
      <c r="O286" s="49"/>
      <c r="P286" s="49"/>
      <c r="Q286" s="49"/>
      <c r="R286" s="49"/>
      <c r="S286" s="49"/>
      <c r="T286" s="47"/>
      <c r="U286" s="48"/>
      <c r="V286" s="99"/>
      <c r="W286" s="99"/>
      <c r="X286" s="101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99"/>
      <c r="AI286" s="9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BF286" s="76"/>
    </row>
    <row r="287" spans="1:58" s="46" customFormat="1">
      <c r="A287" s="108"/>
      <c r="B287" s="108"/>
      <c r="C287" s="108"/>
      <c r="D287" s="108"/>
      <c r="E287" s="108"/>
      <c r="F287" s="108"/>
      <c r="G287" s="99"/>
      <c r="H287" s="99"/>
      <c r="I287" s="69"/>
      <c r="J287" s="69"/>
      <c r="K287" s="69"/>
      <c r="L287" s="49"/>
      <c r="M287" s="49"/>
      <c r="N287" s="49"/>
      <c r="O287" s="49"/>
      <c r="P287" s="49"/>
      <c r="Q287" s="49"/>
      <c r="R287" s="49"/>
      <c r="S287" s="49"/>
      <c r="T287" s="47"/>
      <c r="U287" s="48"/>
      <c r="V287" s="99"/>
      <c r="W287" s="99"/>
      <c r="X287" s="101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99"/>
      <c r="AI287" s="9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BF287" s="76"/>
    </row>
    <row r="288" spans="1:58" s="46" customFormat="1">
      <c r="A288" s="108"/>
      <c r="B288" s="108"/>
      <c r="C288" s="108"/>
      <c r="D288" s="108"/>
      <c r="E288" s="108"/>
      <c r="F288" s="108"/>
      <c r="G288" s="99"/>
      <c r="H288" s="99"/>
      <c r="I288" s="69"/>
      <c r="J288" s="69"/>
      <c r="K288" s="69"/>
      <c r="L288" s="49"/>
      <c r="M288" s="49"/>
      <c r="N288" s="49"/>
      <c r="O288" s="49"/>
      <c r="P288" s="49"/>
      <c r="Q288" s="49"/>
      <c r="R288" s="49"/>
      <c r="S288" s="49"/>
      <c r="T288" s="47"/>
      <c r="U288" s="48"/>
      <c r="V288" s="99"/>
      <c r="W288" s="99"/>
      <c r="X288" s="101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99"/>
      <c r="AI288" s="9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BF288" s="76"/>
    </row>
    <row r="289" spans="1:58" s="46" customFormat="1">
      <c r="A289" s="108"/>
      <c r="B289" s="108"/>
      <c r="C289" s="108"/>
      <c r="D289" s="108"/>
      <c r="E289" s="108"/>
      <c r="F289" s="108"/>
      <c r="G289" s="99"/>
      <c r="H289" s="99"/>
      <c r="I289" s="69"/>
      <c r="J289" s="69"/>
      <c r="K289" s="69"/>
      <c r="L289" s="49"/>
      <c r="M289" s="49"/>
      <c r="N289" s="49"/>
      <c r="O289" s="49"/>
      <c r="P289" s="49"/>
      <c r="Q289" s="49"/>
      <c r="R289" s="49"/>
      <c r="S289" s="49"/>
      <c r="T289" s="47"/>
      <c r="U289" s="48"/>
      <c r="V289" s="99"/>
      <c r="W289" s="99"/>
      <c r="X289" s="101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99"/>
      <c r="AI289" s="9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BF289" s="76"/>
    </row>
    <row r="290" spans="1:58" s="46" customFormat="1">
      <c r="A290" s="108"/>
      <c r="B290" s="108"/>
      <c r="C290" s="108"/>
      <c r="D290" s="108"/>
      <c r="E290" s="108"/>
      <c r="F290" s="108"/>
      <c r="G290" s="99"/>
      <c r="H290" s="99"/>
      <c r="I290" s="69"/>
      <c r="J290" s="69"/>
      <c r="K290" s="69"/>
      <c r="L290" s="49"/>
      <c r="M290" s="49"/>
      <c r="N290" s="49"/>
      <c r="O290" s="49"/>
      <c r="P290" s="49"/>
      <c r="Q290" s="49"/>
      <c r="R290" s="49"/>
      <c r="S290" s="49"/>
      <c r="T290" s="47"/>
      <c r="U290" s="48"/>
      <c r="V290" s="99"/>
      <c r="W290" s="99"/>
      <c r="X290" s="101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99"/>
      <c r="AI290" s="9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BF290" s="76"/>
    </row>
    <row r="291" spans="1:58" s="46" customFormat="1">
      <c r="A291" s="108"/>
      <c r="B291" s="108"/>
      <c r="C291" s="108"/>
      <c r="D291" s="108"/>
      <c r="E291" s="108"/>
      <c r="F291" s="108"/>
      <c r="G291" s="99"/>
      <c r="H291" s="99"/>
      <c r="I291" s="69"/>
      <c r="J291" s="69"/>
      <c r="K291" s="69"/>
      <c r="L291" s="49"/>
      <c r="M291" s="49"/>
      <c r="N291" s="49"/>
      <c r="O291" s="49"/>
      <c r="P291" s="49"/>
      <c r="Q291" s="49"/>
      <c r="R291" s="49"/>
      <c r="S291" s="49"/>
      <c r="T291" s="47"/>
      <c r="U291" s="48"/>
      <c r="V291" s="99"/>
      <c r="W291" s="99"/>
      <c r="X291" s="101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99"/>
      <c r="AI291" s="9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BF291" s="76"/>
    </row>
    <row r="292" spans="1:58" s="46" customFormat="1">
      <c r="A292" s="108"/>
      <c r="B292" s="108"/>
      <c r="C292" s="108"/>
      <c r="D292" s="108"/>
      <c r="E292" s="108"/>
      <c r="F292" s="108"/>
      <c r="G292" s="99"/>
      <c r="H292" s="99"/>
      <c r="I292" s="69"/>
      <c r="J292" s="69"/>
      <c r="K292" s="69"/>
      <c r="L292" s="49"/>
      <c r="M292" s="49"/>
      <c r="N292" s="49"/>
      <c r="O292" s="49"/>
      <c r="P292" s="49"/>
      <c r="Q292" s="49"/>
      <c r="R292" s="49"/>
      <c r="S292" s="49"/>
      <c r="T292" s="47"/>
      <c r="U292" s="48"/>
      <c r="V292" s="99"/>
      <c r="W292" s="99"/>
      <c r="X292" s="101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99"/>
      <c r="AI292" s="9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BF292" s="76"/>
    </row>
    <row r="293" spans="1:58" s="46" customFormat="1">
      <c r="A293" s="108"/>
      <c r="B293" s="108"/>
      <c r="C293" s="108"/>
      <c r="D293" s="108"/>
      <c r="E293" s="108"/>
      <c r="F293" s="108"/>
      <c r="G293" s="99"/>
      <c r="H293" s="99"/>
      <c r="I293" s="69"/>
      <c r="J293" s="69"/>
      <c r="K293" s="69"/>
      <c r="L293" s="49"/>
      <c r="M293" s="49"/>
      <c r="N293" s="49"/>
      <c r="O293" s="49"/>
      <c r="P293" s="49"/>
      <c r="Q293" s="49"/>
      <c r="R293" s="49"/>
      <c r="S293" s="49"/>
      <c r="T293" s="47"/>
      <c r="U293" s="48"/>
      <c r="V293" s="99"/>
      <c r="W293" s="99"/>
      <c r="X293" s="101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99"/>
      <c r="AI293" s="9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BF293" s="76"/>
    </row>
    <row r="294" spans="1:58" s="46" customFormat="1">
      <c r="A294" s="108"/>
      <c r="B294" s="108"/>
      <c r="C294" s="108"/>
      <c r="D294" s="108"/>
      <c r="E294" s="108"/>
      <c r="F294" s="108"/>
      <c r="G294" s="99"/>
      <c r="H294" s="99"/>
      <c r="I294" s="69"/>
      <c r="J294" s="69"/>
      <c r="K294" s="69"/>
      <c r="L294" s="49"/>
      <c r="M294" s="49"/>
      <c r="N294" s="49"/>
      <c r="O294" s="49"/>
      <c r="P294" s="49"/>
      <c r="Q294" s="49"/>
      <c r="R294" s="49"/>
      <c r="S294" s="49"/>
      <c r="T294" s="47"/>
      <c r="U294" s="48"/>
      <c r="V294" s="99"/>
      <c r="W294" s="99"/>
      <c r="X294" s="101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99"/>
      <c r="AI294" s="9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BF294" s="76"/>
    </row>
    <row r="295" spans="1:58" s="46" customFormat="1">
      <c r="A295" s="108"/>
      <c r="B295" s="108"/>
      <c r="C295" s="108"/>
      <c r="D295" s="108"/>
      <c r="E295" s="108"/>
      <c r="F295" s="108"/>
      <c r="G295" s="99"/>
      <c r="H295" s="99"/>
      <c r="I295" s="69"/>
      <c r="J295" s="69"/>
      <c r="K295" s="69"/>
      <c r="L295" s="49"/>
      <c r="M295" s="49"/>
      <c r="N295" s="49"/>
      <c r="O295" s="49"/>
      <c r="P295" s="49"/>
      <c r="Q295" s="49"/>
      <c r="R295" s="49"/>
      <c r="S295" s="49"/>
      <c r="T295" s="47"/>
      <c r="U295" s="48"/>
      <c r="V295" s="99"/>
      <c r="W295" s="99"/>
      <c r="X295" s="101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99"/>
      <c r="AI295" s="9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BF295" s="76"/>
    </row>
    <row r="296" spans="1:58" s="46" customFormat="1">
      <c r="A296" s="108"/>
      <c r="B296" s="108"/>
      <c r="C296" s="108"/>
      <c r="D296" s="108"/>
      <c r="E296" s="108"/>
      <c r="F296" s="108"/>
      <c r="G296" s="99"/>
      <c r="H296" s="99"/>
      <c r="I296" s="69"/>
      <c r="J296" s="69"/>
      <c r="K296" s="69"/>
      <c r="L296" s="49"/>
      <c r="M296" s="49"/>
      <c r="N296" s="49"/>
      <c r="O296" s="49"/>
      <c r="P296" s="49"/>
      <c r="Q296" s="49"/>
      <c r="R296" s="49"/>
      <c r="S296" s="49"/>
      <c r="T296" s="47"/>
      <c r="U296" s="48"/>
      <c r="V296" s="99"/>
      <c r="W296" s="99"/>
      <c r="X296" s="101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99"/>
      <c r="AI296" s="9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BF296" s="76"/>
    </row>
    <row r="297" spans="1:58" s="46" customFormat="1">
      <c r="A297" s="108"/>
      <c r="B297" s="108"/>
      <c r="C297" s="108"/>
      <c r="D297" s="108"/>
      <c r="E297" s="108"/>
      <c r="F297" s="108"/>
      <c r="G297" s="99"/>
      <c r="H297" s="99"/>
      <c r="I297" s="69"/>
      <c r="J297" s="69"/>
      <c r="K297" s="69"/>
      <c r="L297" s="49"/>
      <c r="M297" s="49"/>
      <c r="N297" s="49"/>
      <c r="O297" s="49"/>
      <c r="P297" s="49"/>
      <c r="Q297" s="49"/>
      <c r="R297" s="49"/>
      <c r="S297" s="49"/>
      <c r="T297" s="47"/>
      <c r="U297" s="48"/>
      <c r="V297" s="99"/>
      <c r="W297" s="99"/>
      <c r="X297" s="101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99"/>
      <c r="AI297" s="9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BF297" s="76"/>
    </row>
    <row r="298" spans="1:58" s="46" customFormat="1">
      <c r="A298" s="109"/>
      <c r="B298" s="109"/>
      <c r="C298" s="109"/>
      <c r="D298" s="109"/>
      <c r="E298" s="109"/>
      <c r="F298" s="109"/>
      <c r="G298" s="99"/>
      <c r="H298" s="99"/>
      <c r="I298" s="69"/>
      <c r="J298" s="69"/>
      <c r="K298" s="69"/>
      <c r="L298" s="49"/>
      <c r="M298" s="49"/>
      <c r="N298" s="49"/>
      <c r="O298" s="49"/>
      <c r="P298" s="49"/>
      <c r="Q298" s="49"/>
      <c r="R298" s="49"/>
      <c r="S298" s="49"/>
      <c r="T298" s="47"/>
      <c r="U298" s="48"/>
      <c r="V298" s="99"/>
      <c r="W298" s="99"/>
      <c r="X298" s="101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99"/>
      <c r="AI298" s="9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BF298" s="76"/>
    </row>
    <row r="299" spans="1:58" s="46" customFormat="1">
      <c r="A299" s="108"/>
      <c r="B299" s="108"/>
      <c r="C299" s="108"/>
      <c r="D299" s="108"/>
      <c r="E299" s="108"/>
      <c r="F299" s="108"/>
      <c r="G299" s="99"/>
      <c r="H299" s="99"/>
      <c r="I299" s="69"/>
      <c r="J299" s="69"/>
      <c r="K299" s="69"/>
      <c r="L299" s="49"/>
      <c r="M299" s="49"/>
      <c r="N299" s="49"/>
      <c r="O299" s="49"/>
      <c r="P299" s="49"/>
      <c r="Q299" s="49"/>
      <c r="R299" s="49"/>
      <c r="S299" s="49"/>
      <c r="T299" s="47"/>
      <c r="U299" s="48"/>
      <c r="V299" s="99"/>
      <c r="W299" s="99"/>
      <c r="X299" s="101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99"/>
      <c r="AI299" s="9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BF299" s="76"/>
    </row>
    <row r="300" spans="1:58" s="46" customFormat="1">
      <c r="A300" s="108"/>
      <c r="B300" s="108"/>
      <c r="C300" s="108"/>
      <c r="D300" s="108"/>
      <c r="E300" s="108"/>
      <c r="F300" s="108"/>
      <c r="G300" s="99"/>
      <c r="H300" s="99"/>
      <c r="I300" s="69"/>
      <c r="J300" s="69"/>
      <c r="K300" s="69"/>
      <c r="L300" s="49"/>
      <c r="M300" s="49"/>
      <c r="N300" s="49"/>
      <c r="O300" s="49"/>
      <c r="P300" s="49"/>
      <c r="Q300" s="49"/>
      <c r="R300" s="49"/>
      <c r="S300" s="49"/>
      <c r="T300" s="47"/>
      <c r="U300" s="48"/>
      <c r="V300" s="99"/>
      <c r="W300" s="99"/>
      <c r="X300" s="101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99"/>
      <c r="AI300" s="9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BF300" s="76"/>
    </row>
    <row r="301" spans="1:58" s="46" customFormat="1">
      <c r="A301" s="108"/>
      <c r="B301" s="108"/>
      <c r="C301" s="108"/>
      <c r="D301" s="108"/>
      <c r="E301" s="108"/>
      <c r="F301" s="108"/>
      <c r="G301" s="99"/>
      <c r="H301" s="99"/>
      <c r="I301" s="69"/>
      <c r="J301" s="69"/>
      <c r="K301" s="69"/>
      <c r="L301" s="49"/>
      <c r="M301" s="49"/>
      <c r="N301" s="49"/>
      <c r="O301" s="49"/>
      <c r="P301" s="49"/>
      <c r="Q301" s="49"/>
      <c r="R301" s="49"/>
      <c r="S301" s="49"/>
      <c r="T301" s="47"/>
      <c r="U301" s="48"/>
      <c r="V301" s="99"/>
      <c r="W301" s="99"/>
      <c r="X301" s="101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99"/>
      <c r="AI301" s="9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BF301" s="76"/>
    </row>
    <row r="302" spans="1:58" s="46" customFormat="1">
      <c r="A302" s="108"/>
      <c r="B302" s="108"/>
      <c r="C302" s="108"/>
      <c r="D302" s="108"/>
      <c r="E302" s="108"/>
      <c r="F302" s="108"/>
      <c r="G302" s="99"/>
      <c r="H302" s="99"/>
      <c r="I302" s="69"/>
      <c r="J302" s="69"/>
      <c r="K302" s="69"/>
      <c r="L302" s="49"/>
      <c r="M302" s="49"/>
      <c r="N302" s="49"/>
      <c r="O302" s="49"/>
      <c r="P302" s="49"/>
      <c r="Q302" s="49"/>
      <c r="R302" s="49"/>
      <c r="S302" s="49"/>
      <c r="T302" s="47"/>
      <c r="U302" s="48"/>
      <c r="V302" s="99"/>
      <c r="W302" s="99"/>
      <c r="X302" s="101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99"/>
      <c r="AI302" s="9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BF302" s="76"/>
    </row>
    <row r="303" spans="1:58" s="46" customFormat="1">
      <c r="A303" s="108"/>
      <c r="B303" s="108"/>
      <c r="C303" s="108"/>
      <c r="D303" s="108"/>
      <c r="E303" s="108"/>
      <c r="F303" s="108"/>
      <c r="G303" s="99"/>
      <c r="H303" s="99"/>
      <c r="I303" s="69"/>
      <c r="J303" s="69"/>
      <c r="K303" s="69"/>
      <c r="L303" s="49"/>
      <c r="M303" s="49"/>
      <c r="N303" s="49"/>
      <c r="O303" s="49"/>
      <c r="P303" s="49"/>
      <c r="Q303" s="49"/>
      <c r="R303" s="49"/>
      <c r="S303" s="49"/>
      <c r="T303" s="47"/>
      <c r="U303" s="48"/>
      <c r="V303" s="99"/>
      <c r="W303" s="99"/>
      <c r="X303" s="101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99"/>
      <c r="AI303" s="9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BF303" s="76"/>
    </row>
    <row r="304" spans="1:58" s="46" customFormat="1">
      <c r="A304" s="108"/>
      <c r="B304" s="108"/>
      <c r="C304" s="108"/>
      <c r="D304" s="108"/>
      <c r="E304" s="108"/>
      <c r="F304" s="108"/>
      <c r="G304" s="99"/>
      <c r="H304" s="99"/>
      <c r="I304" s="69"/>
      <c r="J304" s="69"/>
      <c r="K304" s="69"/>
      <c r="L304" s="49"/>
      <c r="M304" s="49"/>
      <c r="N304" s="49"/>
      <c r="O304" s="49"/>
      <c r="P304" s="49"/>
      <c r="Q304" s="49"/>
      <c r="R304" s="49"/>
      <c r="S304" s="49"/>
      <c r="T304" s="47"/>
      <c r="U304" s="48"/>
      <c r="V304" s="99"/>
      <c r="W304" s="99"/>
      <c r="X304" s="101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99"/>
      <c r="AI304" s="9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BF304" s="76"/>
    </row>
    <row r="305" spans="1:58" s="46" customFormat="1">
      <c r="A305" s="108"/>
      <c r="B305" s="108"/>
      <c r="C305" s="108"/>
      <c r="D305" s="108"/>
      <c r="E305" s="108"/>
      <c r="F305" s="108"/>
      <c r="G305" s="99"/>
      <c r="H305" s="99"/>
      <c r="I305" s="69"/>
      <c r="J305" s="69"/>
      <c r="K305" s="69"/>
      <c r="L305" s="49"/>
      <c r="M305" s="49"/>
      <c r="N305" s="49"/>
      <c r="O305" s="49"/>
      <c r="P305" s="49"/>
      <c r="Q305" s="49"/>
      <c r="R305" s="49"/>
      <c r="S305" s="49"/>
      <c r="T305" s="47"/>
      <c r="U305" s="48"/>
      <c r="V305" s="99"/>
      <c r="W305" s="99"/>
      <c r="X305" s="101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99"/>
      <c r="AI305" s="9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BF305" s="76"/>
    </row>
    <row r="306" spans="1:58" s="46" customFormat="1">
      <c r="A306" s="108"/>
      <c r="B306" s="108"/>
      <c r="C306" s="108"/>
      <c r="D306" s="108"/>
      <c r="E306" s="108"/>
      <c r="F306" s="108"/>
      <c r="G306" s="99"/>
      <c r="H306" s="99"/>
      <c r="I306" s="69"/>
      <c r="J306" s="69"/>
      <c r="K306" s="69"/>
      <c r="L306" s="49"/>
      <c r="M306" s="49"/>
      <c r="N306" s="49"/>
      <c r="O306" s="49"/>
      <c r="P306" s="49"/>
      <c r="Q306" s="49"/>
      <c r="R306" s="49"/>
      <c r="S306" s="49"/>
      <c r="T306" s="47"/>
      <c r="U306" s="48"/>
      <c r="V306" s="99"/>
      <c r="W306" s="99"/>
      <c r="X306" s="101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99"/>
      <c r="AI306" s="9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BF306" s="76"/>
    </row>
    <row r="307" spans="1:58" s="46" customFormat="1">
      <c r="A307" s="108"/>
      <c r="B307" s="108"/>
      <c r="C307" s="108"/>
      <c r="D307" s="108"/>
      <c r="E307" s="108"/>
      <c r="F307" s="108"/>
      <c r="G307" s="99"/>
      <c r="H307" s="99"/>
      <c r="I307" s="69"/>
      <c r="J307" s="69"/>
      <c r="K307" s="69"/>
      <c r="L307" s="49"/>
      <c r="M307" s="49"/>
      <c r="N307" s="49"/>
      <c r="O307" s="49"/>
      <c r="P307" s="49"/>
      <c r="Q307" s="49"/>
      <c r="R307" s="49"/>
      <c r="S307" s="49"/>
      <c r="T307" s="47"/>
      <c r="U307" s="48"/>
      <c r="V307" s="99"/>
      <c r="W307" s="99"/>
      <c r="X307" s="101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99"/>
      <c r="AI307" s="9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BF307" s="76"/>
    </row>
    <row r="308" spans="1:58" s="46" customFormat="1">
      <c r="A308" s="108"/>
      <c r="B308" s="108"/>
      <c r="C308" s="108"/>
      <c r="D308" s="108"/>
      <c r="E308" s="108"/>
      <c r="F308" s="108"/>
      <c r="G308" s="99"/>
      <c r="H308" s="99"/>
      <c r="I308" s="69"/>
      <c r="J308" s="69"/>
      <c r="K308" s="69"/>
      <c r="L308" s="49"/>
      <c r="M308" s="49"/>
      <c r="N308" s="49"/>
      <c r="O308" s="49"/>
      <c r="P308" s="49"/>
      <c r="Q308" s="49"/>
      <c r="R308" s="49"/>
      <c r="S308" s="49"/>
      <c r="T308" s="47"/>
      <c r="U308" s="48"/>
      <c r="V308" s="99"/>
      <c r="W308" s="99"/>
      <c r="X308" s="101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99"/>
      <c r="AI308" s="9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BF308" s="76"/>
    </row>
    <row r="309" spans="1:58" s="46" customFormat="1">
      <c r="A309" s="108"/>
      <c r="B309" s="108"/>
      <c r="C309" s="108"/>
      <c r="D309" s="108"/>
      <c r="E309" s="108"/>
      <c r="F309" s="108"/>
      <c r="G309" s="99"/>
      <c r="H309" s="99"/>
      <c r="I309" s="69"/>
      <c r="J309" s="69"/>
      <c r="K309" s="69"/>
      <c r="L309" s="49"/>
      <c r="M309" s="49"/>
      <c r="N309" s="49"/>
      <c r="O309" s="49"/>
      <c r="P309" s="49"/>
      <c r="Q309" s="49"/>
      <c r="R309" s="49"/>
      <c r="S309" s="49"/>
      <c r="T309" s="47"/>
      <c r="U309" s="48"/>
      <c r="V309" s="99"/>
      <c r="W309" s="99"/>
      <c r="X309" s="101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99"/>
      <c r="AI309" s="9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BF309" s="76"/>
    </row>
    <row r="310" spans="1:58" s="46" customFormat="1">
      <c r="A310" s="108"/>
      <c r="B310" s="108"/>
      <c r="C310" s="108"/>
      <c r="D310" s="108"/>
      <c r="E310" s="108"/>
      <c r="F310" s="108"/>
      <c r="G310" s="99"/>
      <c r="H310" s="99"/>
      <c r="I310" s="69"/>
      <c r="J310" s="69"/>
      <c r="K310" s="69"/>
      <c r="L310" s="49"/>
      <c r="M310" s="49"/>
      <c r="N310" s="49"/>
      <c r="O310" s="49"/>
      <c r="P310" s="49"/>
      <c r="Q310" s="49"/>
      <c r="R310" s="49"/>
      <c r="S310" s="49"/>
      <c r="T310" s="47"/>
      <c r="U310" s="48"/>
      <c r="V310" s="99"/>
      <c r="W310" s="99"/>
      <c r="X310" s="101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99"/>
      <c r="AI310" s="9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BF310" s="76"/>
    </row>
    <row r="311" spans="1:58" s="46" customFormat="1">
      <c r="A311" s="108"/>
      <c r="B311" s="108"/>
      <c r="C311" s="108"/>
      <c r="D311" s="108"/>
      <c r="E311" s="108"/>
      <c r="F311" s="108"/>
      <c r="G311" s="99"/>
      <c r="H311" s="99"/>
      <c r="I311" s="69"/>
      <c r="J311" s="69"/>
      <c r="K311" s="69"/>
      <c r="L311" s="49"/>
      <c r="M311" s="49"/>
      <c r="N311" s="49"/>
      <c r="O311" s="49"/>
      <c r="P311" s="49"/>
      <c r="Q311" s="49"/>
      <c r="R311" s="49"/>
      <c r="S311" s="49"/>
      <c r="T311" s="47"/>
      <c r="U311" s="48"/>
      <c r="V311" s="99"/>
      <c r="W311" s="99"/>
      <c r="X311" s="101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99"/>
      <c r="AI311" s="9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BF311" s="76"/>
    </row>
    <row r="312" spans="1:58" s="46" customFormat="1">
      <c r="A312" s="108"/>
      <c r="B312" s="108"/>
      <c r="C312" s="108"/>
      <c r="D312" s="108"/>
      <c r="E312" s="108"/>
      <c r="F312" s="108"/>
      <c r="G312" s="99"/>
      <c r="H312" s="99"/>
      <c r="I312" s="69"/>
      <c r="J312" s="69"/>
      <c r="K312" s="69"/>
      <c r="L312" s="49"/>
      <c r="M312" s="49"/>
      <c r="N312" s="49"/>
      <c r="O312" s="49"/>
      <c r="P312" s="49"/>
      <c r="Q312" s="49"/>
      <c r="R312" s="49"/>
      <c r="S312" s="49"/>
      <c r="T312" s="47"/>
      <c r="U312" s="48"/>
      <c r="V312" s="99"/>
      <c r="W312" s="99"/>
      <c r="X312" s="101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99"/>
      <c r="AI312" s="9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BF312" s="76"/>
    </row>
    <row r="313" spans="1:58" s="46" customFormat="1">
      <c r="A313" s="108"/>
      <c r="B313" s="108"/>
      <c r="C313" s="108"/>
      <c r="D313" s="108"/>
      <c r="E313" s="108"/>
      <c r="F313" s="108"/>
      <c r="G313" s="99"/>
      <c r="H313" s="99"/>
      <c r="I313" s="69"/>
      <c r="J313" s="69"/>
      <c r="K313" s="69"/>
      <c r="L313" s="49"/>
      <c r="M313" s="49"/>
      <c r="N313" s="49"/>
      <c r="O313" s="49"/>
      <c r="P313" s="49"/>
      <c r="Q313" s="49"/>
      <c r="R313" s="49"/>
      <c r="S313" s="49"/>
      <c r="T313" s="47"/>
      <c r="U313" s="48"/>
      <c r="V313" s="99"/>
      <c r="W313" s="99"/>
      <c r="X313" s="101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99"/>
      <c r="AI313" s="9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BF313" s="76"/>
    </row>
    <row r="314" spans="1:58" s="46" customFormat="1">
      <c r="A314" s="108"/>
      <c r="B314" s="108"/>
      <c r="C314" s="108"/>
      <c r="D314" s="108"/>
      <c r="E314" s="108"/>
      <c r="F314" s="108"/>
      <c r="G314" s="99"/>
      <c r="H314" s="99"/>
      <c r="I314" s="69"/>
      <c r="J314" s="69"/>
      <c r="K314" s="69"/>
      <c r="L314" s="49"/>
      <c r="M314" s="49"/>
      <c r="N314" s="49"/>
      <c r="O314" s="49"/>
      <c r="P314" s="49"/>
      <c r="Q314" s="49"/>
      <c r="R314" s="49"/>
      <c r="S314" s="49"/>
      <c r="T314" s="47"/>
      <c r="U314" s="48"/>
      <c r="V314" s="99"/>
      <c r="W314" s="99"/>
      <c r="X314" s="101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99"/>
      <c r="AI314" s="9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BF314" s="76"/>
    </row>
    <row r="315" spans="1:58" s="46" customFormat="1">
      <c r="A315" s="108"/>
      <c r="B315" s="108"/>
      <c r="C315" s="108"/>
      <c r="D315" s="108"/>
      <c r="E315" s="108"/>
      <c r="F315" s="108"/>
      <c r="G315" s="99"/>
      <c r="H315" s="99"/>
      <c r="I315" s="69"/>
      <c r="J315" s="69"/>
      <c r="K315" s="69"/>
      <c r="L315" s="49"/>
      <c r="M315" s="49"/>
      <c r="N315" s="49"/>
      <c r="O315" s="49"/>
      <c r="P315" s="49"/>
      <c r="Q315" s="49"/>
      <c r="R315" s="49"/>
      <c r="S315" s="49"/>
      <c r="T315" s="47"/>
      <c r="U315" s="48"/>
      <c r="V315" s="99"/>
      <c r="W315" s="99"/>
      <c r="X315" s="101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99"/>
      <c r="AI315" s="9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BF315" s="76"/>
    </row>
    <row r="316" spans="1:58" s="46" customFormat="1">
      <c r="A316" s="108"/>
      <c r="B316" s="108"/>
      <c r="C316" s="108"/>
      <c r="D316" s="108"/>
      <c r="E316" s="108"/>
      <c r="F316" s="108"/>
      <c r="G316" s="99"/>
      <c r="H316" s="99"/>
      <c r="I316" s="69"/>
      <c r="J316" s="69"/>
      <c r="K316" s="69"/>
      <c r="L316" s="49"/>
      <c r="M316" s="49"/>
      <c r="N316" s="49"/>
      <c r="O316" s="49"/>
      <c r="P316" s="49"/>
      <c r="Q316" s="49"/>
      <c r="R316" s="49"/>
      <c r="S316" s="49"/>
      <c r="T316" s="47"/>
      <c r="U316" s="48"/>
      <c r="V316" s="99"/>
      <c r="W316" s="99"/>
      <c r="X316" s="101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99"/>
      <c r="AI316" s="9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BF316" s="76"/>
    </row>
    <row r="317" spans="1:58" s="46" customFormat="1">
      <c r="A317" s="108"/>
      <c r="B317" s="108"/>
      <c r="C317" s="108"/>
      <c r="D317" s="108"/>
      <c r="E317" s="108"/>
      <c r="F317" s="108"/>
      <c r="G317" s="99"/>
      <c r="H317" s="99"/>
      <c r="I317" s="69"/>
      <c r="J317" s="69"/>
      <c r="K317" s="69"/>
      <c r="L317" s="49"/>
      <c r="M317" s="49"/>
      <c r="N317" s="49"/>
      <c r="O317" s="49"/>
      <c r="P317" s="49"/>
      <c r="Q317" s="49"/>
      <c r="R317" s="49"/>
      <c r="S317" s="49"/>
      <c r="T317" s="47"/>
      <c r="U317" s="48"/>
      <c r="V317" s="99"/>
      <c r="W317" s="99"/>
      <c r="X317" s="101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99"/>
      <c r="AI317" s="9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BF317" s="76"/>
    </row>
    <row r="318" spans="1:58" s="46" customFormat="1">
      <c r="A318" s="108"/>
      <c r="B318" s="108"/>
      <c r="C318" s="108"/>
      <c r="D318" s="108"/>
      <c r="E318" s="108"/>
      <c r="F318" s="108"/>
      <c r="G318" s="99"/>
      <c r="H318" s="99"/>
      <c r="I318" s="69"/>
      <c r="J318" s="69"/>
      <c r="K318" s="69"/>
      <c r="L318" s="49"/>
      <c r="M318" s="49"/>
      <c r="N318" s="49"/>
      <c r="O318" s="49"/>
      <c r="P318" s="49"/>
      <c r="Q318" s="49"/>
      <c r="R318" s="49"/>
      <c r="S318" s="49"/>
      <c r="T318" s="47"/>
      <c r="U318" s="48"/>
      <c r="V318" s="99"/>
      <c r="W318" s="99"/>
      <c r="X318" s="101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99"/>
      <c r="AI318" s="9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BF318" s="76"/>
    </row>
    <row r="319" spans="1:58" s="46" customFormat="1">
      <c r="A319" s="108"/>
      <c r="B319" s="108"/>
      <c r="C319" s="108"/>
      <c r="D319" s="108"/>
      <c r="E319" s="108"/>
      <c r="F319" s="108"/>
      <c r="G319" s="99"/>
      <c r="H319" s="99"/>
      <c r="I319" s="69"/>
      <c r="J319" s="69"/>
      <c r="K319" s="69"/>
      <c r="L319" s="49"/>
      <c r="M319" s="49"/>
      <c r="N319" s="49"/>
      <c r="O319" s="49"/>
      <c r="P319" s="49"/>
      <c r="Q319" s="49"/>
      <c r="R319" s="49"/>
      <c r="S319" s="49"/>
      <c r="T319" s="47"/>
      <c r="U319" s="48"/>
      <c r="V319" s="99"/>
      <c r="W319" s="99"/>
      <c r="X319" s="101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99"/>
      <c r="AI319" s="9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BF319" s="76"/>
    </row>
    <row r="320" spans="1:58" s="46" customFormat="1">
      <c r="A320" s="108"/>
      <c r="B320" s="108"/>
      <c r="C320" s="108"/>
      <c r="D320" s="108"/>
      <c r="E320" s="108"/>
      <c r="F320" s="108"/>
      <c r="G320" s="99"/>
      <c r="H320" s="99"/>
      <c r="I320" s="69"/>
      <c r="J320" s="69"/>
      <c r="K320" s="69"/>
      <c r="L320" s="49"/>
      <c r="M320" s="49"/>
      <c r="N320" s="49"/>
      <c r="O320" s="49"/>
      <c r="P320" s="49"/>
      <c r="Q320" s="49"/>
      <c r="R320" s="49"/>
      <c r="S320" s="49"/>
      <c r="T320" s="47"/>
      <c r="U320" s="48"/>
      <c r="V320" s="99"/>
      <c r="W320" s="99"/>
      <c r="X320" s="101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99"/>
      <c r="AI320" s="9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BF320" s="76"/>
    </row>
    <row r="321" spans="1:58" s="46" customFormat="1">
      <c r="A321" s="108"/>
      <c r="B321" s="108"/>
      <c r="C321" s="108"/>
      <c r="D321" s="108"/>
      <c r="E321" s="108"/>
      <c r="F321" s="108"/>
      <c r="G321" s="99"/>
      <c r="H321" s="99"/>
      <c r="I321" s="69"/>
      <c r="J321" s="69"/>
      <c r="K321" s="69"/>
      <c r="L321" s="49"/>
      <c r="M321" s="49"/>
      <c r="N321" s="49"/>
      <c r="O321" s="49"/>
      <c r="P321" s="49"/>
      <c r="Q321" s="49"/>
      <c r="R321" s="49"/>
      <c r="S321" s="49"/>
      <c r="T321" s="47"/>
      <c r="U321" s="48"/>
      <c r="V321" s="99"/>
      <c r="W321" s="99"/>
      <c r="X321" s="101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99"/>
      <c r="AI321" s="9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BF321" s="76"/>
    </row>
    <row r="322" spans="1:58" s="46" customFormat="1">
      <c r="A322" s="108"/>
      <c r="B322" s="108"/>
      <c r="C322" s="108"/>
      <c r="D322" s="108"/>
      <c r="E322" s="108"/>
      <c r="F322" s="108"/>
      <c r="G322" s="99"/>
      <c r="H322" s="99"/>
      <c r="I322" s="69"/>
      <c r="J322" s="69"/>
      <c r="K322" s="69"/>
      <c r="L322" s="49"/>
      <c r="M322" s="49"/>
      <c r="N322" s="49"/>
      <c r="O322" s="49"/>
      <c r="P322" s="49"/>
      <c r="Q322" s="49"/>
      <c r="R322" s="49"/>
      <c r="S322" s="49"/>
      <c r="T322" s="47"/>
      <c r="U322" s="48"/>
      <c r="V322" s="99"/>
      <c r="W322" s="99"/>
      <c r="X322" s="101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99"/>
      <c r="AI322" s="9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BF322" s="76"/>
    </row>
    <row r="323" spans="1:58" s="46" customFormat="1">
      <c r="A323" s="108"/>
      <c r="B323" s="108"/>
      <c r="C323" s="108"/>
      <c r="D323" s="108"/>
      <c r="E323" s="108"/>
      <c r="F323" s="108"/>
      <c r="G323" s="99"/>
      <c r="H323" s="99"/>
      <c r="I323" s="69"/>
      <c r="J323" s="69"/>
      <c r="K323" s="69"/>
      <c r="L323" s="49"/>
      <c r="M323" s="49"/>
      <c r="N323" s="49"/>
      <c r="O323" s="49"/>
      <c r="P323" s="49"/>
      <c r="Q323" s="49"/>
      <c r="R323" s="49"/>
      <c r="S323" s="49"/>
      <c r="T323" s="47"/>
      <c r="U323" s="48"/>
      <c r="V323" s="99"/>
      <c r="W323" s="99"/>
      <c r="X323" s="101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99"/>
      <c r="AI323" s="9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BF323" s="76"/>
    </row>
    <row r="324" spans="1:58" s="46" customFormat="1">
      <c r="A324" s="108"/>
      <c r="B324" s="108"/>
      <c r="C324" s="108"/>
      <c r="D324" s="108"/>
      <c r="E324" s="108"/>
      <c r="F324" s="108"/>
      <c r="G324" s="99"/>
      <c r="H324" s="99"/>
      <c r="I324" s="69"/>
      <c r="J324" s="69"/>
      <c r="K324" s="69"/>
      <c r="L324" s="49"/>
      <c r="M324" s="49"/>
      <c r="N324" s="49"/>
      <c r="O324" s="49"/>
      <c r="P324" s="49"/>
      <c r="Q324" s="49"/>
      <c r="R324" s="49"/>
      <c r="S324" s="49"/>
      <c r="T324" s="47"/>
      <c r="U324" s="48"/>
      <c r="V324" s="99"/>
      <c r="W324" s="99"/>
      <c r="X324" s="101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99"/>
      <c r="AI324" s="9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BF324" s="76"/>
    </row>
    <row r="325" spans="1:58" s="46" customFormat="1">
      <c r="A325" s="108"/>
      <c r="B325" s="108"/>
      <c r="C325" s="108"/>
      <c r="D325" s="108"/>
      <c r="E325" s="108"/>
      <c r="F325" s="108"/>
      <c r="G325" s="99"/>
      <c r="H325" s="99"/>
      <c r="I325" s="69"/>
      <c r="J325" s="69"/>
      <c r="K325" s="69"/>
      <c r="L325" s="49"/>
      <c r="M325" s="49"/>
      <c r="N325" s="49"/>
      <c r="O325" s="49"/>
      <c r="P325" s="49"/>
      <c r="Q325" s="49"/>
      <c r="R325" s="49"/>
      <c r="S325" s="49"/>
      <c r="T325" s="47"/>
      <c r="U325" s="48"/>
      <c r="V325" s="99"/>
      <c r="W325" s="99"/>
      <c r="X325" s="101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99"/>
      <c r="AI325" s="9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BF325" s="76"/>
    </row>
    <row r="326" spans="1:58" s="46" customFormat="1">
      <c r="A326" s="108"/>
      <c r="B326" s="108"/>
      <c r="C326" s="108"/>
      <c r="D326" s="108"/>
      <c r="E326" s="108"/>
      <c r="F326" s="108"/>
      <c r="G326" s="99"/>
      <c r="H326" s="99"/>
      <c r="I326" s="69"/>
      <c r="J326" s="69"/>
      <c r="K326" s="69"/>
      <c r="L326" s="49"/>
      <c r="M326" s="49"/>
      <c r="N326" s="49"/>
      <c r="O326" s="49"/>
      <c r="P326" s="49"/>
      <c r="Q326" s="49"/>
      <c r="R326" s="49"/>
      <c r="S326" s="49"/>
      <c r="T326" s="47"/>
      <c r="U326" s="48"/>
      <c r="V326" s="99"/>
      <c r="W326" s="99"/>
      <c r="X326" s="101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99"/>
      <c r="AI326" s="9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BF326" s="76"/>
    </row>
    <row r="327" spans="1:58" s="46" customFormat="1">
      <c r="A327" s="108"/>
      <c r="B327" s="108"/>
      <c r="C327" s="108"/>
      <c r="D327" s="108"/>
      <c r="E327" s="108"/>
      <c r="F327" s="108"/>
      <c r="G327" s="99"/>
      <c r="H327" s="99"/>
      <c r="I327" s="69"/>
      <c r="J327" s="69"/>
      <c r="K327" s="69"/>
      <c r="L327" s="49"/>
      <c r="M327" s="49"/>
      <c r="N327" s="49"/>
      <c r="O327" s="49"/>
      <c r="P327" s="49"/>
      <c r="Q327" s="49"/>
      <c r="R327" s="49"/>
      <c r="S327" s="49"/>
      <c r="T327" s="47"/>
      <c r="U327" s="48"/>
      <c r="V327" s="99"/>
      <c r="W327" s="99"/>
      <c r="X327" s="101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99"/>
      <c r="AI327" s="9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BF327" s="76"/>
    </row>
    <row r="328" spans="1:58" s="46" customFormat="1">
      <c r="A328" s="108"/>
      <c r="B328" s="108"/>
      <c r="C328" s="108"/>
      <c r="D328" s="108"/>
      <c r="E328" s="108"/>
      <c r="F328" s="108"/>
      <c r="G328" s="99"/>
      <c r="H328" s="99"/>
      <c r="I328" s="69"/>
      <c r="J328" s="69"/>
      <c r="K328" s="69"/>
      <c r="L328" s="49"/>
      <c r="M328" s="49"/>
      <c r="N328" s="49"/>
      <c r="O328" s="49"/>
      <c r="P328" s="49"/>
      <c r="Q328" s="49"/>
      <c r="R328" s="49"/>
      <c r="S328" s="49"/>
      <c r="T328" s="47"/>
      <c r="U328" s="48"/>
      <c r="V328" s="99"/>
      <c r="W328" s="99"/>
      <c r="X328" s="101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99"/>
      <c r="AI328" s="9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BF328" s="76"/>
    </row>
    <row r="329" spans="1:58" s="46" customFormat="1">
      <c r="A329" s="108"/>
      <c r="B329" s="108"/>
      <c r="C329" s="108"/>
      <c r="D329" s="108"/>
      <c r="E329" s="108"/>
      <c r="F329" s="108"/>
      <c r="G329" s="99"/>
      <c r="H329" s="99"/>
      <c r="I329" s="69"/>
      <c r="J329" s="69"/>
      <c r="K329" s="69"/>
      <c r="L329" s="49"/>
      <c r="M329" s="49"/>
      <c r="N329" s="49"/>
      <c r="O329" s="49"/>
      <c r="P329" s="49"/>
      <c r="Q329" s="49"/>
      <c r="R329" s="49"/>
      <c r="S329" s="49"/>
      <c r="T329" s="47"/>
      <c r="U329" s="48"/>
      <c r="V329" s="99"/>
      <c r="W329" s="99"/>
      <c r="X329" s="101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99"/>
      <c r="AI329" s="9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BF329" s="76"/>
    </row>
    <row r="330" spans="1:58" s="46" customFormat="1">
      <c r="A330" s="108"/>
      <c r="B330" s="108"/>
      <c r="C330" s="108"/>
      <c r="D330" s="108"/>
      <c r="E330" s="108"/>
      <c r="F330" s="108"/>
      <c r="G330" s="99"/>
      <c r="H330" s="99"/>
      <c r="I330" s="69"/>
      <c r="J330" s="69"/>
      <c r="K330" s="69"/>
      <c r="L330" s="49"/>
      <c r="M330" s="49"/>
      <c r="N330" s="49"/>
      <c r="O330" s="49"/>
      <c r="P330" s="49"/>
      <c r="Q330" s="49"/>
      <c r="R330" s="49"/>
      <c r="S330" s="49"/>
      <c r="T330" s="47"/>
      <c r="U330" s="48"/>
      <c r="V330" s="99"/>
      <c r="W330" s="99"/>
      <c r="X330" s="101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99"/>
      <c r="AI330" s="9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BF330" s="76"/>
    </row>
    <row r="331" spans="1:58" s="46" customFormat="1">
      <c r="A331" s="108"/>
      <c r="B331" s="108"/>
      <c r="C331" s="108"/>
      <c r="D331" s="108"/>
      <c r="E331" s="108"/>
      <c r="F331" s="108"/>
      <c r="G331" s="99"/>
      <c r="H331" s="99"/>
      <c r="I331" s="69"/>
      <c r="J331" s="69"/>
      <c r="K331" s="69"/>
      <c r="L331" s="49"/>
      <c r="M331" s="49"/>
      <c r="N331" s="49"/>
      <c r="O331" s="49"/>
      <c r="P331" s="49"/>
      <c r="Q331" s="49"/>
      <c r="R331" s="49"/>
      <c r="S331" s="49"/>
      <c r="T331" s="47"/>
      <c r="U331" s="48"/>
      <c r="V331" s="99"/>
      <c r="W331" s="99"/>
      <c r="X331" s="101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99"/>
      <c r="AI331" s="9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BF331" s="76"/>
    </row>
    <row r="332" spans="1:58" s="46" customFormat="1">
      <c r="A332" s="108"/>
      <c r="B332" s="108"/>
      <c r="C332" s="108"/>
      <c r="D332" s="108"/>
      <c r="E332" s="108"/>
      <c r="F332" s="108"/>
      <c r="G332" s="99"/>
      <c r="H332" s="99"/>
      <c r="I332" s="69"/>
      <c r="J332" s="69"/>
      <c r="K332" s="69"/>
      <c r="L332" s="49"/>
      <c r="M332" s="49"/>
      <c r="N332" s="49"/>
      <c r="O332" s="49"/>
      <c r="P332" s="49"/>
      <c r="Q332" s="49"/>
      <c r="R332" s="49"/>
      <c r="S332" s="49"/>
      <c r="T332" s="47"/>
      <c r="U332" s="48"/>
      <c r="V332" s="99"/>
      <c r="W332" s="99"/>
      <c r="X332" s="101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99"/>
      <c r="AI332" s="9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BF332" s="76"/>
    </row>
    <row r="333" spans="1:58" s="46" customFormat="1">
      <c r="A333" s="108"/>
      <c r="B333" s="108"/>
      <c r="C333" s="108"/>
      <c r="D333" s="108"/>
      <c r="E333" s="108"/>
      <c r="F333" s="108"/>
      <c r="G333" s="99"/>
      <c r="H333" s="99"/>
      <c r="I333" s="69"/>
      <c r="J333" s="69"/>
      <c r="K333" s="69"/>
      <c r="L333" s="49"/>
      <c r="M333" s="49"/>
      <c r="N333" s="49"/>
      <c r="O333" s="49"/>
      <c r="P333" s="49"/>
      <c r="Q333" s="49"/>
      <c r="R333" s="49"/>
      <c r="S333" s="49"/>
      <c r="T333" s="47"/>
      <c r="U333" s="48"/>
      <c r="V333" s="99"/>
      <c r="W333" s="99"/>
      <c r="X333" s="101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99"/>
      <c r="AI333" s="9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BF333" s="76"/>
    </row>
    <row r="334" spans="1:58" s="46" customFormat="1">
      <c r="A334" s="108"/>
      <c r="B334" s="108"/>
      <c r="C334" s="108"/>
      <c r="D334" s="108"/>
      <c r="E334" s="108"/>
      <c r="F334" s="108"/>
      <c r="G334" s="99"/>
      <c r="H334" s="99"/>
      <c r="I334" s="69"/>
      <c r="J334" s="69"/>
      <c r="K334" s="69"/>
      <c r="L334" s="49"/>
      <c r="M334" s="49"/>
      <c r="N334" s="49"/>
      <c r="O334" s="49"/>
      <c r="P334" s="49"/>
      <c r="Q334" s="49"/>
      <c r="R334" s="49"/>
      <c r="S334" s="49"/>
      <c r="T334" s="47"/>
      <c r="U334" s="48"/>
      <c r="V334" s="99"/>
      <c r="W334" s="99"/>
      <c r="X334" s="101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99"/>
      <c r="AI334" s="9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BF334" s="76"/>
    </row>
    <row r="335" spans="1:58" s="46" customFormat="1">
      <c r="A335" s="108"/>
      <c r="B335" s="108"/>
      <c r="C335" s="108"/>
      <c r="D335" s="108"/>
      <c r="E335" s="108"/>
      <c r="F335" s="108"/>
      <c r="G335" s="99"/>
      <c r="H335" s="99"/>
      <c r="I335" s="69"/>
      <c r="J335" s="69"/>
      <c r="K335" s="69"/>
      <c r="L335" s="49"/>
      <c r="M335" s="49"/>
      <c r="N335" s="49"/>
      <c r="O335" s="49"/>
      <c r="P335" s="49"/>
      <c r="Q335" s="49"/>
      <c r="R335" s="49"/>
      <c r="S335" s="49"/>
      <c r="T335" s="47"/>
      <c r="U335" s="48"/>
      <c r="V335" s="99"/>
      <c r="W335" s="99"/>
      <c r="X335" s="101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99"/>
      <c r="AI335" s="9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BF335" s="76"/>
    </row>
    <row r="336" spans="1:58">
      <c r="A336" s="108"/>
      <c r="B336" s="108"/>
      <c r="C336" s="108"/>
      <c r="D336" s="108"/>
      <c r="E336" s="108"/>
      <c r="F336" s="108"/>
      <c r="G336" s="99"/>
      <c r="H336" s="99"/>
      <c r="I336" s="69"/>
      <c r="J336" s="69"/>
      <c r="K336" s="69"/>
      <c r="L336" s="49"/>
      <c r="M336" s="49"/>
      <c r="N336" s="49"/>
      <c r="O336" s="49"/>
      <c r="P336" s="49"/>
      <c r="Q336" s="49"/>
      <c r="R336" s="49"/>
      <c r="S336" s="49"/>
      <c r="T336" s="47"/>
      <c r="U336" s="48"/>
      <c r="V336" s="99"/>
      <c r="W336" s="99"/>
      <c r="X336" s="101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99"/>
      <c r="AI336" s="9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76"/>
    </row>
    <row r="337" spans="1:58">
      <c r="A337" s="108"/>
      <c r="B337" s="108"/>
      <c r="C337" s="108"/>
      <c r="D337" s="108"/>
      <c r="E337" s="108"/>
      <c r="F337" s="108"/>
      <c r="G337" s="99"/>
      <c r="H337" s="99"/>
      <c r="I337" s="69"/>
      <c r="J337" s="69"/>
      <c r="K337" s="69"/>
      <c r="L337" s="49"/>
      <c r="M337" s="49"/>
      <c r="N337" s="49"/>
      <c r="O337" s="49"/>
      <c r="P337" s="49"/>
      <c r="Q337" s="49"/>
      <c r="R337" s="49"/>
      <c r="S337" s="49"/>
      <c r="T337" s="47"/>
      <c r="U337" s="48"/>
      <c r="V337" s="99"/>
      <c r="W337" s="99"/>
      <c r="X337" s="101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99"/>
      <c r="AI337" s="9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76"/>
    </row>
    <row r="338" spans="1:58">
      <c r="A338" s="108"/>
      <c r="B338" s="108"/>
      <c r="C338" s="108"/>
      <c r="D338" s="108"/>
      <c r="E338" s="108"/>
      <c r="F338" s="108"/>
      <c r="G338" s="99"/>
      <c r="H338" s="99"/>
      <c r="I338" s="69"/>
      <c r="J338" s="69"/>
      <c r="K338" s="69"/>
      <c r="L338" s="49"/>
      <c r="M338" s="49"/>
      <c r="N338" s="49"/>
      <c r="O338" s="49"/>
      <c r="P338" s="49"/>
      <c r="Q338" s="49"/>
      <c r="R338" s="49"/>
      <c r="S338" s="49"/>
      <c r="T338" s="47"/>
      <c r="U338" s="48"/>
      <c r="V338" s="99"/>
      <c r="W338" s="99"/>
      <c r="X338" s="101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99"/>
      <c r="AI338" s="9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76"/>
    </row>
    <row r="339" spans="1:58">
      <c r="A339" s="108"/>
      <c r="B339" s="108"/>
      <c r="C339" s="108"/>
      <c r="D339" s="108"/>
      <c r="E339" s="108"/>
      <c r="F339" s="108"/>
      <c r="G339" s="99"/>
      <c r="H339" s="99"/>
      <c r="I339" s="69"/>
      <c r="J339" s="69"/>
      <c r="K339" s="69"/>
      <c r="L339" s="49"/>
      <c r="M339" s="49"/>
      <c r="N339" s="49"/>
      <c r="O339" s="49"/>
      <c r="P339" s="49"/>
      <c r="Q339" s="49"/>
      <c r="R339" s="49"/>
      <c r="S339" s="49"/>
      <c r="T339" s="47"/>
      <c r="U339" s="48"/>
      <c r="V339" s="99"/>
      <c r="W339" s="99"/>
      <c r="X339" s="101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99"/>
      <c r="AI339" s="9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76"/>
    </row>
    <row r="340" spans="1:58">
      <c r="A340" s="108"/>
      <c r="B340" s="108"/>
      <c r="C340" s="108"/>
      <c r="D340" s="108"/>
      <c r="E340" s="108"/>
      <c r="F340" s="108"/>
      <c r="G340" s="102"/>
      <c r="H340" s="102"/>
      <c r="V340" s="102"/>
      <c r="W340" s="102"/>
      <c r="X340" s="103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2"/>
      <c r="AI340" s="102"/>
    </row>
    <row r="341" spans="1:58">
      <c r="A341" s="108"/>
      <c r="B341" s="108"/>
      <c r="C341" s="108"/>
      <c r="D341" s="108"/>
      <c r="E341" s="108"/>
      <c r="F341" s="108"/>
      <c r="G341" s="102"/>
      <c r="H341" s="102"/>
      <c r="V341" s="102"/>
      <c r="W341" s="102"/>
      <c r="X341" s="103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2"/>
      <c r="AI341" s="102"/>
    </row>
    <row r="342" spans="1:58">
      <c r="A342" s="108"/>
      <c r="B342" s="108"/>
      <c r="C342" s="108"/>
      <c r="D342" s="108"/>
      <c r="E342" s="108"/>
      <c r="F342" s="108"/>
      <c r="G342" s="102"/>
      <c r="H342" s="102"/>
      <c r="V342" s="102"/>
      <c r="W342" s="102"/>
      <c r="X342" s="103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2"/>
      <c r="AI342" s="102"/>
    </row>
    <row r="343" spans="1:58">
      <c r="A343" s="102"/>
      <c r="B343" s="102"/>
      <c r="C343" s="102"/>
      <c r="D343" s="102"/>
      <c r="E343" s="102"/>
      <c r="F343" s="102"/>
      <c r="G343" s="102"/>
      <c r="H343" s="102"/>
    </row>
    <row r="344" spans="1:58">
      <c r="A344" s="102"/>
      <c r="B344" s="102"/>
      <c r="C344" s="102"/>
      <c r="D344" s="102"/>
      <c r="E344" s="102"/>
      <c r="F344" s="102"/>
      <c r="G344" s="102"/>
      <c r="H344" s="102"/>
    </row>
    <row r="345" spans="1:58">
      <c r="A345" s="102"/>
      <c r="B345" s="102"/>
      <c r="C345" s="102"/>
      <c r="D345" s="102"/>
      <c r="E345" s="102"/>
      <c r="F345" s="102"/>
      <c r="G345" s="102"/>
      <c r="H345" s="102"/>
    </row>
    <row r="346" spans="1:58">
      <c r="A346" s="102"/>
      <c r="B346" s="102"/>
      <c r="C346" s="102"/>
      <c r="D346" s="102"/>
      <c r="E346" s="102"/>
      <c r="F346" s="102"/>
      <c r="G346" s="102"/>
      <c r="H346" s="102"/>
    </row>
    <row r="347" spans="1:58">
      <c r="A347" s="102"/>
      <c r="B347" s="102"/>
      <c r="C347" s="102"/>
      <c r="D347" s="102"/>
      <c r="E347" s="102"/>
      <c r="F347" s="102"/>
      <c r="G347" s="102"/>
      <c r="H347" s="102"/>
    </row>
    <row r="348" spans="1:58">
      <c r="A348" s="102"/>
      <c r="B348" s="102"/>
      <c r="C348" s="102"/>
      <c r="D348" s="102"/>
      <c r="E348" s="102"/>
      <c r="F348" s="102"/>
      <c r="G348" s="102"/>
      <c r="H348" s="102"/>
    </row>
    <row r="349" spans="1:58">
      <c r="A349" s="102"/>
      <c r="B349" s="102"/>
      <c r="C349" s="102"/>
      <c r="D349" s="102"/>
      <c r="E349" s="102"/>
      <c r="F349" s="102"/>
      <c r="G349" s="102"/>
      <c r="H349" s="102"/>
    </row>
    <row r="350" spans="1:58">
      <c r="A350" s="102"/>
      <c r="B350" s="102"/>
      <c r="C350" s="102"/>
      <c r="D350" s="102"/>
      <c r="E350" s="102"/>
      <c r="F350" s="102"/>
      <c r="G350" s="102"/>
      <c r="H350" s="102"/>
    </row>
    <row r="351" spans="1:58">
      <c r="A351" s="102"/>
      <c r="B351" s="102"/>
      <c r="C351" s="102"/>
      <c r="D351" s="102"/>
      <c r="E351" s="102"/>
      <c r="F351" s="102"/>
      <c r="G351" s="102"/>
      <c r="H351" s="102"/>
    </row>
    <row r="352" spans="1:58">
      <c r="A352" s="102"/>
      <c r="B352" s="102"/>
      <c r="C352" s="102"/>
      <c r="D352" s="102"/>
      <c r="E352" s="102"/>
      <c r="F352" s="102"/>
      <c r="G352" s="102"/>
      <c r="H352" s="102"/>
    </row>
    <row r="353" spans="1:8">
      <c r="A353" s="102"/>
      <c r="B353" s="102"/>
      <c r="C353" s="102"/>
      <c r="D353" s="102"/>
      <c r="E353" s="102"/>
      <c r="F353" s="102"/>
      <c r="G353" s="102"/>
      <c r="H353" s="102"/>
    </row>
    <row r="354" spans="1:8">
      <c r="A354" s="102"/>
      <c r="B354" s="102"/>
      <c r="C354" s="102"/>
      <c r="D354" s="102"/>
      <c r="E354" s="102"/>
      <c r="F354" s="102"/>
      <c r="G354" s="102"/>
      <c r="H354" s="102"/>
    </row>
    <row r="355" spans="1:8">
      <c r="A355" s="102"/>
      <c r="B355" s="102"/>
      <c r="C355" s="102"/>
      <c r="D355" s="102"/>
      <c r="E355" s="102"/>
      <c r="F355" s="102"/>
      <c r="G355" s="102"/>
      <c r="H355" s="102"/>
    </row>
    <row r="356" spans="1:8">
      <c r="A356" s="102"/>
      <c r="B356" s="102"/>
      <c r="C356" s="102"/>
      <c r="D356" s="102"/>
      <c r="E356" s="102"/>
      <c r="F356" s="102"/>
      <c r="G356" s="102"/>
      <c r="H356" s="102"/>
    </row>
    <row r="357" spans="1:8">
      <c r="A357" s="102"/>
      <c r="B357" s="102"/>
      <c r="C357" s="102"/>
      <c r="D357" s="102"/>
      <c r="E357" s="102"/>
      <c r="F357" s="102"/>
      <c r="G357" s="102"/>
      <c r="H357" s="102"/>
    </row>
    <row r="358" spans="1:8">
      <c r="A358" s="102"/>
      <c r="B358" s="102"/>
      <c r="C358" s="102"/>
      <c r="D358" s="102"/>
      <c r="E358" s="102"/>
      <c r="F358" s="102"/>
      <c r="G358" s="102"/>
      <c r="H358" s="102"/>
    </row>
    <row r="359" spans="1:8">
      <c r="A359" s="102"/>
      <c r="B359" s="102"/>
      <c r="C359" s="102"/>
      <c r="D359" s="102"/>
      <c r="E359" s="102"/>
      <c r="F359" s="102"/>
      <c r="G359" s="102"/>
      <c r="H359" s="102"/>
    </row>
    <row r="360" spans="1:8">
      <c r="A360" s="102"/>
      <c r="B360" s="102"/>
      <c r="C360" s="102"/>
      <c r="D360" s="102"/>
      <c r="E360" s="102"/>
      <c r="F360" s="102"/>
      <c r="G360" s="102"/>
      <c r="H360" s="102"/>
    </row>
    <row r="361" spans="1:8">
      <c r="A361" s="102"/>
      <c r="B361" s="102"/>
      <c r="C361" s="102"/>
      <c r="D361" s="102"/>
      <c r="E361" s="102"/>
      <c r="F361" s="102"/>
      <c r="G361" s="102"/>
      <c r="H361" s="102"/>
    </row>
    <row r="362" spans="1:8">
      <c r="A362" s="102"/>
      <c r="B362" s="102"/>
      <c r="C362" s="102"/>
      <c r="D362" s="102"/>
      <c r="E362" s="102"/>
      <c r="F362" s="102"/>
      <c r="G362" s="102"/>
      <c r="H362" s="102"/>
    </row>
    <row r="363" spans="1:8">
      <c r="A363" s="102"/>
      <c r="B363" s="102"/>
      <c r="C363" s="102"/>
      <c r="D363" s="102"/>
      <c r="E363" s="102"/>
      <c r="F363" s="102"/>
      <c r="G363" s="102"/>
      <c r="H363" s="102"/>
    </row>
    <row r="364" spans="1:8">
      <c r="A364" s="102"/>
      <c r="B364" s="102"/>
      <c r="C364" s="102"/>
      <c r="D364" s="102"/>
      <c r="E364" s="102"/>
      <c r="F364" s="102"/>
      <c r="G364" s="102"/>
      <c r="H364" s="102"/>
    </row>
    <row r="365" spans="1:8">
      <c r="A365" s="102"/>
      <c r="B365" s="102"/>
      <c r="C365" s="102"/>
      <c r="D365" s="102"/>
      <c r="E365" s="102"/>
      <c r="F365" s="102"/>
      <c r="G365" s="102"/>
      <c r="H365" s="102"/>
    </row>
    <row r="366" spans="1:8">
      <c r="A366" s="102"/>
      <c r="B366" s="102"/>
      <c r="C366" s="102"/>
      <c r="D366" s="102"/>
      <c r="E366" s="102"/>
      <c r="F366" s="102"/>
      <c r="G366" s="102"/>
      <c r="H366" s="102"/>
    </row>
    <row r="367" spans="1:8">
      <c r="A367" s="102"/>
      <c r="B367" s="102"/>
      <c r="C367" s="102"/>
      <c r="D367" s="102"/>
      <c r="E367" s="102"/>
      <c r="F367" s="102"/>
      <c r="G367" s="102"/>
      <c r="H367" s="102"/>
    </row>
    <row r="368" spans="1:8">
      <c r="A368" s="102"/>
      <c r="B368" s="102"/>
      <c r="C368" s="102"/>
      <c r="D368" s="102"/>
      <c r="E368" s="102"/>
      <c r="F368" s="102"/>
      <c r="G368" s="102"/>
      <c r="H368" s="102"/>
    </row>
    <row r="369" spans="1:8">
      <c r="A369" s="102"/>
      <c r="B369" s="102"/>
      <c r="C369" s="102"/>
      <c r="D369" s="102"/>
      <c r="E369" s="102"/>
      <c r="F369" s="102"/>
      <c r="G369" s="102"/>
      <c r="H369" s="102"/>
    </row>
    <row r="370" spans="1:8">
      <c r="A370" s="102"/>
      <c r="B370" s="102"/>
      <c r="C370" s="102"/>
      <c r="D370" s="102"/>
      <c r="E370" s="102"/>
      <c r="F370" s="102"/>
      <c r="G370" s="102"/>
      <c r="H370" s="102"/>
    </row>
    <row r="371" spans="1:8">
      <c r="A371" s="102"/>
      <c r="B371" s="102"/>
      <c r="C371" s="102"/>
      <c r="D371" s="102"/>
      <c r="E371" s="102"/>
      <c r="F371" s="102"/>
      <c r="G371" s="102"/>
      <c r="H371" s="102"/>
    </row>
    <row r="372" spans="1:8">
      <c r="A372" s="102"/>
      <c r="B372" s="102"/>
      <c r="C372" s="102"/>
      <c r="D372" s="102"/>
      <c r="E372" s="102"/>
      <c r="F372" s="102"/>
      <c r="G372" s="102"/>
      <c r="H372" s="102"/>
    </row>
    <row r="373" spans="1:8">
      <c r="A373" s="102"/>
      <c r="B373" s="102"/>
      <c r="C373" s="102"/>
      <c r="D373" s="102"/>
      <c r="E373" s="102"/>
      <c r="F373" s="102"/>
      <c r="G373" s="102"/>
      <c r="H373" s="102"/>
    </row>
    <row r="374" spans="1:8">
      <c r="A374" s="102"/>
      <c r="B374" s="102"/>
      <c r="C374" s="102"/>
      <c r="D374" s="102"/>
      <c r="E374" s="102"/>
      <c r="F374" s="102"/>
      <c r="G374" s="102"/>
      <c r="H374" s="102"/>
    </row>
    <row r="375" spans="1:8">
      <c r="A375" s="102"/>
      <c r="B375" s="102"/>
      <c r="C375" s="102"/>
      <c r="D375" s="102"/>
      <c r="E375" s="102"/>
      <c r="F375" s="102"/>
      <c r="G375" s="102"/>
      <c r="H375" s="102"/>
    </row>
    <row r="376" spans="1:8">
      <c r="A376" s="102"/>
      <c r="B376" s="102"/>
      <c r="C376" s="102"/>
      <c r="D376" s="102"/>
      <c r="E376" s="102"/>
      <c r="F376" s="102"/>
      <c r="G376" s="102"/>
      <c r="H376" s="102"/>
    </row>
    <row r="377" spans="1:8">
      <c r="A377" s="102"/>
      <c r="B377" s="102"/>
      <c r="C377" s="102"/>
      <c r="D377" s="102"/>
      <c r="E377" s="102"/>
      <c r="F377" s="102"/>
      <c r="G377" s="102"/>
      <c r="H377" s="102"/>
    </row>
    <row r="378" spans="1:8">
      <c r="A378" s="102"/>
      <c r="B378" s="102"/>
      <c r="C378" s="102"/>
      <c r="D378" s="102"/>
      <c r="E378" s="102"/>
      <c r="F378" s="102"/>
      <c r="G378" s="102"/>
      <c r="H378" s="102"/>
    </row>
    <row r="379" spans="1:8">
      <c r="A379" s="102"/>
      <c r="B379" s="102"/>
      <c r="C379" s="102"/>
      <c r="D379" s="102"/>
      <c r="E379" s="102"/>
      <c r="F379" s="102"/>
      <c r="G379" s="102"/>
      <c r="H379" s="102"/>
    </row>
    <row r="380" spans="1:8">
      <c r="A380" s="102"/>
      <c r="B380" s="102"/>
      <c r="C380" s="102"/>
      <c r="D380" s="102"/>
      <c r="E380" s="102"/>
      <c r="F380" s="102"/>
      <c r="G380" s="102"/>
      <c r="H380" s="102"/>
    </row>
    <row r="381" spans="1:8">
      <c r="A381" s="102"/>
      <c r="B381" s="102"/>
      <c r="C381" s="102"/>
      <c r="D381" s="102"/>
      <c r="E381" s="102"/>
      <c r="F381" s="102"/>
      <c r="G381" s="102"/>
      <c r="H381" s="102"/>
    </row>
    <row r="382" spans="1:8">
      <c r="A382" s="102"/>
      <c r="B382" s="102"/>
      <c r="C382" s="102"/>
      <c r="D382" s="102"/>
      <c r="E382" s="102"/>
      <c r="F382" s="102"/>
      <c r="G382" s="102"/>
      <c r="H382" s="102"/>
    </row>
    <row r="383" spans="1:8">
      <c r="A383" s="102"/>
      <c r="B383" s="102"/>
      <c r="C383" s="102"/>
      <c r="D383" s="102"/>
      <c r="E383" s="102"/>
      <c r="F383" s="102"/>
      <c r="G383" s="102"/>
      <c r="H383" s="102"/>
    </row>
    <row r="384" spans="1:8">
      <c r="A384" s="102"/>
      <c r="B384" s="102"/>
      <c r="C384" s="102"/>
      <c r="D384" s="102"/>
      <c r="E384" s="102"/>
      <c r="F384" s="102"/>
      <c r="G384" s="102"/>
      <c r="H384" s="102"/>
    </row>
    <row r="385" spans="1:8">
      <c r="A385" s="102"/>
      <c r="B385" s="102"/>
      <c r="C385" s="102"/>
      <c r="D385" s="102"/>
      <c r="E385" s="102"/>
      <c r="F385" s="102"/>
      <c r="G385" s="102"/>
      <c r="H385" s="102"/>
    </row>
    <row r="386" spans="1:8">
      <c r="A386" s="102"/>
      <c r="B386" s="102"/>
      <c r="C386" s="102"/>
      <c r="D386" s="102"/>
      <c r="E386" s="102"/>
      <c r="F386" s="102"/>
      <c r="G386" s="102"/>
      <c r="H386" s="102"/>
    </row>
    <row r="387" spans="1:8">
      <c r="A387" s="102"/>
      <c r="B387" s="102"/>
      <c r="C387" s="102"/>
      <c r="D387" s="102"/>
      <c r="E387" s="102"/>
      <c r="F387" s="102"/>
      <c r="G387" s="102"/>
      <c r="H387" s="102"/>
    </row>
    <row r="388" spans="1:8">
      <c r="A388" s="102"/>
      <c r="B388" s="102"/>
      <c r="C388" s="102"/>
      <c r="D388" s="102"/>
      <c r="E388" s="102"/>
      <c r="F388" s="102"/>
      <c r="G388" s="102"/>
      <c r="H388" s="102"/>
    </row>
    <row r="389" spans="1:8">
      <c r="A389" s="102"/>
      <c r="B389" s="102"/>
      <c r="C389" s="102"/>
      <c r="D389" s="102"/>
      <c r="E389" s="102"/>
      <c r="F389" s="102"/>
      <c r="G389" s="102"/>
      <c r="H389" s="102"/>
    </row>
    <row r="390" spans="1:8">
      <c r="A390" s="102"/>
      <c r="B390" s="102"/>
      <c r="C390" s="102"/>
      <c r="D390" s="102"/>
      <c r="E390" s="102"/>
      <c r="F390" s="102"/>
      <c r="G390" s="102"/>
      <c r="H390" s="102"/>
    </row>
    <row r="391" spans="1:8">
      <c r="A391" s="102"/>
      <c r="B391" s="102"/>
      <c r="C391" s="102"/>
      <c r="D391" s="102"/>
      <c r="E391" s="102"/>
      <c r="F391" s="102"/>
      <c r="G391" s="102"/>
      <c r="H391" s="102"/>
    </row>
    <row r="392" spans="1:8">
      <c r="A392" s="102"/>
      <c r="B392" s="102"/>
      <c r="C392" s="102"/>
      <c r="D392" s="102"/>
      <c r="E392" s="102"/>
      <c r="F392" s="102"/>
      <c r="G392" s="102"/>
      <c r="H392" s="102"/>
    </row>
    <row r="393" spans="1:8">
      <c r="A393" s="102"/>
      <c r="B393" s="102"/>
      <c r="C393" s="102"/>
      <c r="D393" s="102"/>
      <c r="E393" s="102"/>
      <c r="F393" s="102"/>
      <c r="G393" s="102"/>
      <c r="H393" s="102"/>
    </row>
    <row r="394" spans="1:8">
      <c r="A394" s="102"/>
      <c r="B394" s="102"/>
      <c r="C394" s="102"/>
      <c r="D394" s="102"/>
      <c r="E394" s="102"/>
      <c r="F394" s="102"/>
      <c r="G394" s="102"/>
      <c r="H394" s="102"/>
    </row>
    <row r="395" spans="1:8">
      <c r="A395" s="102"/>
      <c r="B395" s="102"/>
      <c r="C395" s="102"/>
      <c r="D395" s="102"/>
      <c r="E395" s="102"/>
      <c r="F395" s="102"/>
      <c r="G395" s="102"/>
      <c r="H395" s="102"/>
    </row>
    <row r="396" spans="1:8">
      <c r="A396" s="102"/>
      <c r="B396" s="102"/>
      <c r="C396" s="102"/>
      <c r="D396" s="102"/>
      <c r="E396" s="102"/>
      <c r="F396" s="102"/>
      <c r="G396" s="102"/>
      <c r="H396" s="102"/>
    </row>
    <row r="397" spans="1:8">
      <c r="A397" s="102"/>
      <c r="B397" s="102"/>
      <c r="C397" s="102"/>
      <c r="D397" s="102"/>
      <c r="E397" s="102"/>
      <c r="F397" s="102"/>
      <c r="G397" s="102"/>
      <c r="H397" s="102"/>
    </row>
    <row r="398" spans="1:8">
      <c r="A398" s="102"/>
      <c r="B398" s="102"/>
      <c r="C398" s="102"/>
      <c r="D398" s="102"/>
      <c r="E398" s="102"/>
      <c r="F398" s="102"/>
      <c r="G398" s="102"/>
      <c r="H398" s="102"/>
    </row>
    <row r="399" spans="1:8">
      <c r="A399" s="102"/>
      <c r="B399" s="102"/>
      <c r="C399" s="102"/>
      <c r="D399" s="102"/>
      <c r="E399" s="102"/>
      <c r="F399" s="102"/>
      <c r="G399" s="102"/>
      <c r="H399" s="102"/>
    </row>
    <row r="400" spans="1:8">
      <c r="A400" s="102"/>
      <c r="B400" s="102"/>
      <c r="C400" s="102"/>
      <c r="D400" s="102"/>
      <c r="E400" s="102"/>
      <c r="F400" s="102"/>
      <c r="G400" s="102"/>
      <c r="H400" s="102"/>
    </row>
    <row r="401" spans="1:8">
      <c r="A401" s="102"/>
      <c r="B401" s="102"/>
      <c r="C401" s="102"/>
      <c r="D401" s="102"/>
      <c r="E401" s="102"/>
      <c r="F401" s="102"/>
      <c r="G401" s="102"/>
      <c r="H401" s="102"/>
    </row>
    <row r="402" spans="1:8">
      <c r="A402" s="102"/>
      <c r="B402" s="102"/>
      <c r="C402" s="102"/>
      <c r="D402" s="102"/>
      <c r="E402" s="102"/>
      <c r="F402" s="102"/>
      <c r="G402" s="102"/>
      <c r="H402" s="102"/>
    </row>
    <row r="403" spans="1:8">
      <c r="A403" s="102"/>
      <c r="B403" s="102"/>
      <c r="C403" s="102"/>
      <c r="D403" s="102"/>
      <c r="E403" s="102"/>
      <c r="F403" s="102"/>
      <c r="G403" s="102"/>
      <c r="H403" s="102"/>
    </row>
    <row r="404" spans="1:8">
      <c r="A404" s="102"/>
      <c r="B404" s="102"/>
      <c r="C404" s="102"/>
      <c r="D404" s="102"/>
      <c r="E404" s="102"/>
      <c r="F404" s="102"/>
      <c r="G404" s="102"/>
      <c r="H404" s="102"/>
    </row>
    <row r="405" spans="1:8">
      <c r="A405" s="102"/>
      <c r="B405" s="102"/>
      <c r="C405" s="102"/>
      <c r="D405" s="102"/>
      <c r="E405" s="102"/>
      <c r="F405" s="102"/>
      <c r="G405" s="102"/>
      <c r="H405" s="102"/>
    </row>
    <row r="406" spans="1:8">
      <c r="A406" s="102"/>
      <c r="B406" s="102"/>
      <c r="C406" s="102"/>
      <c r="D406" s="102"/>
      <c r="E406" s="102"/>
      <c r="F406" s="102"/>
      <c r="G406" s="102"/>
      <c r="H406" s="102"/>
    </row>
    <row r="407" spans="1:8">
      <c r="A407" s="102"/>
      <c r="B407" s="102"/>
      <c r="C407" s="102"/>
      <c r="D407" s="102"/>
      <c r="E407" s="102"/>
      <c r="F407" s="102"/>
      <c r="G407" s="102"/>
      <c r="H407" s="102"/>
    </row>
    <row r="408" spans="1:8">
      <c r="A408" s="102"/>
      <c r="B408" s="102"/>
      <c r="C408" s="102"/>
      <c r="D408" s="102"/>
      <c r="E408" s="102"/>
      <c r="F408" s="102"/>
      <c r="G408" s="102"/>
      <c r="H408" s="102"/>
    </row>
    <row r="409" spans="1:8">
      <c r="A409" s="102"/>
      <c r="B409" s="102"/>
      <c r="C409" s="102"/>
      <c r="D409" s="102"/>
      <c r="E409" s="102"/>
      <c r="F409" s="102"/>
      <c r="G409" s="102"/>
      <c r="H409" s="102"/>
    </row>
    <row r="410" spans="1:8">
      <c r="A410" s="102"/>
      <c r="B410" s="102"/>
      <c r="C410" s="102"/>
      <c r="D410" s="102"/>
      <c r="E410" s="102"/>
      <c r="F410" s="102"/>
      <c r="G410" s="102"/>
      <c r="H410" s="102"/>
    </row>
    <row r="411" spans="1:8">
      <c r="A411" s="102"/>
      <c r="B411" s="102"/>
      <c r="C411" s="102"/>
      <c r="D411" s="102"/>
      <c r="E411" s="102"/>
      <c r="F411" s="102"/>
      <c r="G411" s="102"/>
      <c r="H411" s="102"/>
    </row>
    <row r="412" spans="1:8">
      <c r="A412" s="102"/>
      <c r="B412" s="102"/>
      <c r="C412" s="102"/>
      <c r="D412" s="102"/>
      <c r="E412" s="102"/>
      <c r="F412" s="102"/>
      <c r="G412" s="102"/>
      <c r="H412" s="102"/>
    </row>
    <row r="413" spans="1:8">
      <c r="A413" s="102"/>
      <c r="B413" s="102"/>
      <c r="C413" s="102"/>
      <c r="D413" s="102"/>
      <c r="E413" s="102"/>
      <c r="F413" s="102"/>
      <c r="G413" s="102"/>
      <c r="H413" s="102"/>
    </row>
    <row r="414" spans="1:8">
      <c r="A414" s="102"/>
      <c r="B414" s="102"/>
      <c r="C414" s="102"/>
      <c r="D414" s="102"/>
      <c r="E414" s="102"/>
      <c r="F414" s="102"/>
      <c r="G414" s="102"/>
      <c r="H414" s="102"/>
    </row>
    <row r="415" spans="1:8">
      <c r="A415" s="102"/>
      <c r="B415" s="102"/>
      <c r="C415" s="102"/>
      <c r="D415" s="102"/>
      <c r="E415" s="102"/>
      <c r="F415" s="102"/>
      <c r="G415" s="102"/>
      <c r="H415" s="102"/>
    </row>
    <row r="416" spans="1:8">
      <c r="A416" s="102"/>
      <c r="B416" s="102"/>
      <c r="C416" s="102"/>
      <c r="D416" s="102"/>
      <c r="E416" s="102"/>
      <c r="F416" s="102"/>
      <c r="G416" s="102"/>
      <c r="H416" s="102"/>
    </row>
    <row r="417" spans="1:8">
      <c r="A417" s="102"/>
      <c r="B417" s="102"/>
      <c r="C417" s="102"/>
      <c r="D417" s="102"/>
      <c r="E417" s="102"/>
      <c r="F417" s="102"/>
      <c r="G417" s="102"/>
      <c r="H417" s="102"/>
    </row>
    <row r="418" spans="1:8">
      <c r="A418" s="102"/>
      <c r="B418" s="102"/>
      <c r="C418" s="102"/>
      <c r="D418" s="102"/>
      <c r="E418" s="102"/>
      <c r="F418" s="102"/>
      <c r="G418" s="102"/>
      <c r="H418" s="102"/>
    </row>
    <row r="419" spans="1:8">
      <c r="A419" s="102"/>
      <c r="B419" s="102"/>
      <c r="C419" s="102"/>
      <c r="D419" s="102"/>
      <c r="E419" s="102"/>
      <c r="F419" s="102"/>
      <c r="G419" s="102"/>
      <c r="H419" s="102"/>
    </row>
    <row r="420" spans="1:8">
      <c r="A420" s="102"/>
      <c r="B420" s="102"/>
      <c r="C420" s="102"/>
      <c r="D420" s="102"/>
      <c r="E420" s="102"/>
      <c r="F420" s="102"/>
      <c r="G420" s="102"/>
      <c r="H420" s="102"/>
    </row>
    <row r="421" spans="1:8">
      <c r="A421" s="102"/>
      <c r="B421" s="102"/>
      <c r="C421" s="102"/>
      <c r="D421" s="102"/>
      <c r="E421" s="102"/>
      <c r="F421" s="102"/>
      <c r="G421" s="102"/>
      <c r="H421" s="102"/>
    </row>
    <row r="422" spans="1:8">
      <c r="A422" s="102"/>
      <c r="B422" s="102"/>
      <c r="C422" s="102"/>
      <c r="D422" s="102"/>
      <c r="E422" s="102"/>
      <c r="F422" s="102"/>
      <c r="G422" s="102"/>
      <c r="H422" s="102"/>
    </row>
    <row r="423" spans="1:8">
      <c r="A423" s="102"/>
      <c r="B423" s="102"/>
      <c r="C423" s="102"/>
      <c r="D423" s="102"/>
      <c r="E423" s="102"/>
      <c r="F423" s="102"/>
      <c r="G423" s="102"/>
      <c r="H423" s="102"/>
    </row>
    <row r="424" spans="1:8">
      <c r="A424" s="102"/>
      <c r="B424" s="102"/>
      <c r="C424" s="102"/>
      <c r="D424" s="102"/>
      <c r="E424" s="102"/>
      <c r="F424" s="102"/>
      <c r="G424" s="102"/>
      <c r="H424" s="102"/>
    </row>
    <row r="425" spans="1:8">
      <c r="A425" s="102"/>
      <c r="B425" s="102"/>
      <c r="C425" s="102"/>
      <c r="D425" s="102"/>
      <c r="E425" s="102"/>
      <c r="F425" s="102"/>
      <c r="G425" s="102"/>
      <c r="H425" s="102"/>
    </row>
    <row r="426" spans="1:8">
      <c r="A426" s="102"/>
      <c r="B426" s="102"/>
      <c r="C426" s="102"/>
      <c r="D426" s="102"/>
      <c r="E426" s="102"/>
      <c r="F426" s="102"/>
      <c r="G426" s="102"/>
      <c r="H426" s="102"/>
    </row>
    <row r="427" spans="1:8">
      <c r="A427" s="102"/>
      <c r="B427" s="102"/>
      <c r="C427" s="102"/>
      <c r="D427" s="102"/>
      <c r="E427" s="102"/>
      <c r="F427" s="102"/>
      <c r="G427" s="102"/>
      <c r="H427" s="102"/>
    </row>
    <row r="428" spans="1:8">
      <c r="A428" s="102"/>
      <c r="B428" s="102"/>
      <c r="C428" s="102"/>
      <c r="D428" s="102"/>
      <c r="E428" s="102"/>
      <c r="F428" s="102"/>
      <c r="G428" s="102"/>
      <c r="H428" s="102"/>
    </row>
    <row r="429" spans="1:8">
      <c r="A429" s="102"/>
      <c r="B429" s="102"/>
      <c r="C429" s="102"/>
      <c r="D429" s="102"/>
      <c r="E429" s="102"/>
      <c r="F429" s="102"/>
      <c r="G429" s="102"/>
      <c r="H429" s="102"/>
    </row>
    <row r="430" spans="1:8">
      <c r="A430" s="102"/>
      <c r="B430" s="102"/>
      <c r="C430" s="102"/>
      <c r="D430" s="102"/>
      <c r="E430" s="102"/>
      <c r="F430" s="102"/>
      <c r="G430" s="102"/>
      <c r="H430" s="102"/>
    </row>
    <row r="431" spans="1:8">
      <c r="A431" s="102"/>
      <c r="B431" s="102"/>
      <c r="C431" s="102"/>
      <c r="D431" s="102"/>
      <c r="E431" s="102"/>
      <c r="F431" s="102"/>
      <c r="G431" s="102"/>
      <c r="H431" s="102"/>
    </row>
    <row r="432" spans="1:8">
      <c r="A432" s="102"/>
      <c r="B432" s="102"/>
      <c r="C432" s="102"/>
      <c r="D432" s="102"/>
      <c r="E432" s="102"/>
      <c r="F432" s="102"/>
      <c r="G432" s="102"/>
      <c r="H432" s="102"/>
    </row>
    <row r="433" spans="1:8">
      <c r="A433" s="102"/>
      <c r="B433" s="102"/>
      <c r="C433" s="102"/>
      <c r="D433" s="102"/>
      <c r="E433" s="102"/>
      <c r="F433" s="102"/>
      <c r="G433" s="102"/>
      <c r="H433" s="102"/>
    </row>
    <row r="434" spans="1:8">
      <c r="A434" s="102"/>
      <c r="B434" s="102"/>
      <c r="C434" s="102"/>
      <c r="D434" s="102"/>
      <c r="E434" s="102"/>
      <c r="F434" s="102"/>
      <c r="G434" s="102"/>
      <c r="H434" s="102"/>
    </row>
    <row r="435" spans="1:8">
      <c r="A435" s="102"/>
      <c r="B435" s="102"/>
      <c r="C435" s="102"/>
      <c r="D435" s="102"/>
      <c r="E435" s="102"/>
      <c r="F435" s="102"/>
      <c r="G435" s="102"/>
      <c r="H435" s="102"/>
    </row>
    <row r="436" spans="1:8">
      <c r="A436" s="102"/>
      <c r="B436" s="102"/>
      <c r="C436" s="102"/>
      <c r="D436" s="102"/>
      <c r="E436" s="102"/>
      <c r="F436" s="102"/>
      <c r="G436" s="102"/>
      <c r="H436" s="102"/>
    </row>
    <row r="437" spans="1:8">
      <c r="A437" s="102"/>
      <c r="B437" s="102"/>
      <c r="C437" s="102"/>
      <c r="D437" s="102"/>
      <c r="E437" s="102"/>
      <c r="F437" s="102"/>
      <c r="G437" s="102"/>
      <c r="H437" s="102"/>
    </row>
    <row r="438" spans="1:8">
      <c r="A438" s="102"/>
      <c r="B438" s="102"/>
      <c r="C438" s="102"/>
      <c r="D438" s="102"/>
      <c r="E438" s="102"/>
      <c r="F438" s="102"/>
      <c r="G438" s="102"/>
      <c r="H438" s="102"/>
    </row>
    <row r="439" spans="1:8">
      <c r="A439" s="102"/>
      <c r="B439" s="102"/>
      <c r="C439" s="102"/>
      <c r="D439" s="102"/>
      <c r="E439" s="102"/>
      <c r="F439" s="102"/>
      <c r="G439" s="102"/>
      <c r="H439" s="102"/>
    </row>
    <row r="440" spans="1:8">
      <c r="A440" s="102"/>
      <c r="B440" s="102"/>
      <c r="C440" s="102"/>
      <c r="D440" s="102"/>
      <c r="E440" s="102"/>
      <c r="F440" s="102"/>
      <c r="G440" s="102"/>
      <c r="H440" s="102"/>
    </row>
    <row r="441" spans="1:8">
      <c r="A441" s="102"/>
      <c r="B441" s="102"/>
      <c r="C441" s="102"/>
      <c r="D441" s="102"/>
      <c r="E441" s="102"/>
      <c r="F441" s="102"/>
      <c r="G441" s="102"/>
      <c r="H441" s="102"/>
    </row>
    <row r="442" spans="1:8">
      <c r="A442" s="102"/>
      <c r="B442" s="102"/>
      <c r="C442" s="102"/>
      <c r="D442" s="102"/>
      <c r="E442" s="102"/>
      <c r="F442" s="102"/>
      <c r="G442" s="102"/>
      <c r="H442" s="102"/>
    </row>
    <row r="443" spans="1:8">
      <c r="A443" s="102"/>
      <c r="B443" s="102"/>
      <c r="C443" s="102"/>
      <c r="D443" s="102"/>
      <c r="E443" s="102"/>
      <c r="F443" s="102"/>
      <c r="G443" s="102"/>
      <c r="H443" s="102"/>
    </row>
    <row r="444" spans="1:8">
      <c r="A444" s="102"/>
      <c r="B444" s="102"/>
      <c r="C444" s="102"/>
      <c r="D444" s="102"/>
      <c r="E444" s="102"/>
      <c r="F444" s="102"/>
      <c r="G444" s="102"/>
      <c r="H444" s="102"/>
    </row>
    <row r="445" spans="1:8">
      <c r="A445" s="102"/>
      <c r="B445" s="102"/>
      <c r="C445" s="102"/>
      <c r="D445" s="102"/>
      <c r="E445" s="102"/>
      <c r="F445" s="102"/>
      <c r="G445" s="102"/>
      <c r="H445" s="102"/>
    </row>
    <row r="446" spans="1:8">
      <c r="A446" s="102"/>
      <c r="B446" s="102"/>
      <c r="C446" s="102"/>
      <c r="D446" s="102"/>
      <c r="E446" s="102"/>
      <c r="F446" s="102"/>
      <c r="G446" s="102"/>
      <c r="H446" s="102"/>
    </row>
    <row r="447" spans="1:8">
      <c r="A447" s="102"/>
      <c r="B447" s="102"/>
      <c r="C447" s="102"/>
      <c r="D447" s="102"/>
      <c r="E447" s="102"/>
      <c r="F447" s="102"/>
      <c r="G447" s="102"/>
      <c r="H447" s="102"/>
    </row>
    <row r="448" spans="1:8">
      <c r="A448" s="102"/>
      <c r="B448" s="102"/>
      <c r="C448" s="102"/>
      <c r="D448" s="102"/>
      <c r="E448" s="102"/>
      <c r="F448" s="102"/>
      <c r="G448" s="102"/>
      <c r="H448" s="102"/>
    </row>
    <row r="449" spans="1:8">
      <c r="A449" s="102"/>
      <c r="B449" s="102"/>
      <c r="C449" s="102"/>
      <c r="D449" s="102"/>
      <c r="E449" s="102"/>
      <c r="F449" s="102"/>
      <c r="G449" s="102"/>
      <c r="H449" s="102"/>
    </row>
    <row r="450" spans="1:8">
      <c r="A450" s="102"/>
      <c r="B450" s="102"/>
      <c r="C450" s="102"/>
      <c r="D450" s="102"/>
      <c r="E450" s="102"/>
      <c r="F450" s="102"/>
      <c r="G450" s="102"/>
      <c r="H450" s="102"/>
    </row>
    <row r="451" spans="1:8">
      <c r="A451" s="102"/>
      <c r="B451" s="102"/>
      <c r="C451" s="102"/>
      <c r="D451" s="102"/>
      <c r="E451" s="102"/>
      <c r="F451" s="102"/>
      <c r="G451" s="102"/>
      <c r="H451" s="102"/>
    </row>
    <row r="452" spans="1:8">
      <c r="A452" s="102"/>
      <c r="B452" s="102"/>
      <c r="C452" s="102"/>
      <c r="D452" s="102"/>
      <c r="E452" s="102"/>
      <c r="F452" s="102"/>
      <c r="G452" s="102"/>
      <c r="H452" s="102"/>
    </row>
    <row r="453" spans="1:8">
      <c r="A453" s="102"/>
      <c r="B453" s="102"/>
      <c r="C453" s="102"/>
      <c r="D453" s="102"/>
      <c r="E453" s="102"/>
      <c r="F453" s="102"/>
      <c r="G453" s="102"/>
      <c r="H453" s="102"/>
    </row>
    <row r="454" spans="1:8">
      <c r="A454" s="102"/>
      <c r="B454" s="102"/>
      <c r="C454" s="102"/>
      <c r="D454" s="102"/>
      <c r="E454" s="102"/>
      <c r="F454" s="102"/>
      <c r="G454" s="102"/>
      <c r="H454" s="102"/>
    </row>
    <row r="455" spans="1:8">
      <c r="A455" s="102"/>
      <c r="B455" s="102"/>
      <c r="C455" s="102"/>
      <c r="D455" s="102"/>
      <c r="E455" s="102"/>
      <c r="F455" s="102"/>
      <c r="G455" s="102"/>
      <c r="H455" s="102"/>
    </row>
    <row r="456" spans="1:8">
      <c r="A456" s="102"/>
      <c r="B456" s="102"/>
      <c r="C456" s="102"/>
      <c r="D456" s="102"/>
      <c r="E456" s="102"/>
      <c r="F456" s="102"/>
      <c r="G456" s="102"/>
      <c r="H456" s="102"/>
    </row>
    <row r="457" spans="1:8">
      <c r="A457" s="102"/>
      <c r="B457" s="102"/>
      <c r="C457" s="102"/>
      <c r="D457" s="102"/>
      <c r="E457" s="102"/>
      <c r="F457" s="102"/>
      <c r="G457" s="102"/>
      <c r="H457" s="102"/>
    </row>
    <row r="458" spans="1:8">
      <c r="A458" s="102"/>
      <c r="B458" s="102"/>
      <c r="C458" s="102"/>
      <c r="D458" s="102"/>
      <c r="E458" s="102"/>
      <c r="F458" s="102"/>
      <c r="G458" s="102"/>
      <c r="H458" s="102"/>
    </row>
    <row r="459" spans="1:8">
      <c r="A459" s="102"/>
      <c r="B459" s="102"/>
      <c r="C459" s="102"/>
      <c r="D459" s="102"/>
      <c r="E459" s="102"/>
      <c r="F459" s="102"/>
      <c r="G459" s="102"/>
      <c r="H459" s="102"/>
    </row>
    <row r="460" spans="1:8">
      <c r="A460" s="102"/>
      <c r="B460" s="102"/>
      <c r="C460" s="102"/>
      <c r="D460" s="102"/>
      <c r="E460" s="102"/>
      <c r="F460" s="102"/>
      <c r="G460" s="102"/>
      <c r="H460" s="102"/>
    </row>
    <row r="461" spans="1:8">
      <c r="A461" s="102"/>
      <c r="B461" s="102"/>
      <c r="C461" s="102"/>
      <c r="D461" s="102"/>
      <c r="E461" s="102"/>
      <c r="F461" s="102"/>
      <c r="G461" s="102"/>
      <c r="H461" s="102"/>
    </row>
    <row r="462" spans="1:8">
      <c r="A462" s="102"/>
      <c r="B462" s="102"/>
      <c r="C462" s="102"/>
      <c r="D462" s="102"/>
      <c r="E462" s="102"/>
      <c r="F462" s="102"/>
      <c r="G462" s="102"/>
      <c r="H462" s="102"/>
    </row>
    <row r="463" spans="1:8">
      <c r="A463" s="102"/>
      <c r="B463" s="102"/>
      <c r="C463" s="102"/>
      <c r="D463" s="102"/>
      <c r="E463" s="102"/>
      <c r="F463" s="102"/>
      <c r="G463" s="102"/>
      <c r="H463" s="102"/>
    </row>
    <row r="464" spans="1:8">
      <c r="A464" s="102"/>
      <c r="B464" s="102"/>
      <c r="C464" s="102"/>
      <c r="D464" s="102"/>
      <c r="E464" s="102"/>
      <c r="F464" s="102"/>
      <c r="G464" s="102"/>
      <c r="H464" s="102"/>
    </row>
    <row r="465" spans="1:8">
      <c r="A465" s="102"/>
      <c r="B465" s="102"/>
      <c r="C465" s="102"/>
      <c r="D465" s="102"/>
      <c r="E465" s="102"/>
      <c r="F465" s="102"/>
      <c r="G465" s="102"/>
      <c r="H465" s="102"/>
    </row>
    <row r="466" spans="1:8">
      <c r="A466" s="102"/>
      <c r="B466" s="102"/>
      <c r="C466" s="102"/>
      <c r="D466" s="102"/>
      <c r="E466" s="102"/>
      <c r="F466" s="102"/>
      <c r="G466" s="102"/>
      <c r="H466" s="102"/>
    </row>
    <row r="467" spans="1:8">
      <c r="A467" s="102"/>
      <c r="B467" s="102"/>
      <c r="C467" s="102"/>
      <c r="D467" s="102"/>
      <c r="E467" s="102"/>
      <c r="F467" s="102"/>
      <c r="G467" s="102"/>
      <c r="H467" s="102"/>
    </row>
    <row r="468" spans="1:8">
      <c r="A468" s="102"/>
      <c r="B468" s="102"/>
      <c r="C468" s="102"/>
      <c r="D468" s="102"/>
      <c r="E468" s="102"/>
      <c r="F468" s="102"/>
      <c r="G468" s="102"/>
      <c r="H468" s="102"/>
    </row>
    <row r="469" spans="1:8">
      <c r="A469" s="102"/>
      <c r="B469" s="102"/>
      <c r="C469" s="102"/>
      <c r="D469" s="102"/>
      <c r="E469" s="102"/>
      <c r="F469" s="102"/>
      <c r="G469" s="102"/>
      <c r="H469" s="102"/>
    </row>
    <row r="470" spans="1:8">
      <c r="A470" s="102"/>
      <c r="B470" s="102"/>
      <c r="C470" s="102"/>
      <c r="D470" s="102"/>
      <c r="E470" s="102"/>
      <c r="F470" s="102"/>
      <c r="G470" s="102"/>
      <c r="H470" s="102"/>
    </row>
    <row r="471" spans="1:8">
      <c r="A471" s="102"/>
      <c r="B471" s="102"/>
      <c r="C471" s="102"/>
      <c r="D471" s="102"/>
      <c r="E471" s="102"/>
      <c r="F471" s="102"/>
      <c r="G471" s="102"/>
      <c r="H471" s="102"/>
    </row>
    <row r="472" spans="1:8">
      <c r="A472" s="102"/>
      <c r="B472" s="102"/>
      <c r="C472" s="102"/>
      <c r="D472" s="102"/>
      <c r="E472" s="102"/>
      <c r="F472" s="102"/>
      <c r="G472" s="102"/>
      <c r="H472" s="102"/>
    </row>
    <row r="473" spans="1:8">
      <c r="A473" s="102"/>
      <c r="B473" s="102"/>
      <c r="C473" s="102"/>
      <c r="D473" s="102"/>
      <c r="E473" s="102"/>
      <c r="F473" s="102"/>
      <c r="G473" s="102"/>
      <c r="H473" s="102"/>
    </row>
    <row r="474" spans="1:8">
      <c r="A474" s="102"/>
      <c r="B474" s="102"/>
      <c r="C474" s="102"/>
      <c r="D474" s="102"/>
      <c r="E474" s="102"/>
      <c r="F474" s="102"/>
      <c r="G474" s="102"/>
      <c r="H474" s="102"/>
    </row>
    <row r="475" spans="1:8">
      <c r="A475" s="102"/>
      <c r="B475" s="102"/>
      <c r="C475" s="102"/>
      <c r="D475" s="102"/>
      <c r="E475" s="102"/>
      <c r="F475" s="102"/>
      <c r="G475" s="102"/>
      <c r="H475" s="102"/>
    </row>
    <row r="476" spans="1:8">
      <c r="A476" s="102"/>
      <c r="B476" s="102"/>
      <c r="C476" s="102"/>
      <c r="D476" s="102"/>
      <c r="E476" s="102"/>
      <c r="F476" s="102"/>
      <c r="G476" s="102"/>
      <c r="H476" s="102"/>
    </row>
    <row r="477" spans="1:8">
      <c r="A477" s="102"/>
      <c r="B477" s="102"/>
      <c r="C477" s="102"/>
      <c r="D477" s="102"/>
      <c r="E477" s="102"/>
      <c r="F477" s="102"/>
      <c r="G477" s="102"/>
      <c r="H477" s="102"/>
    </row>
    <row r="478" spans="1:8">
      <c r="A478" s="102"/>
      <c r="B478" s="102"/>
      <c r="C478" s="102"/>
      <c r="D478" s="102"/>
      <c r="E478" s="102"/>
      <c r="F478" s="102"/>
      <c r="G478" s="102"/>
      <c r="H478" s="102"/>
    </row>
    <row r="479" spans="1:8">
      <c r="A479" s="102"/>
      <c r="B479" s="102"/>
      <c r="C479" s="102"/>
      <c r="D479" s="102"/>
      <c r="E479" s="102"/>
      <c r="F479" s="102"/>
      <c r="G479" s="102"/>
      <c r="H479" s="102"/>
    </row>
    <row r="480" spans="1:8">
      <c r="A480" s="102"/>
      <c r="B480" s="102"/>
      <c r="C480" s="102"/>
      <c r="D480" s="102"/>
      <c r="E480" s="102"/>
      <c r="F480" s="102"/>
      <c r="G480" s="102"/>
      <c r="H480" s="102"/>
    </row>
    <row r="481" spans="1:8">
      <c r="A481" s="102"/>
      <c r="B481" s="102"/>
      <c r="C481" s="102"/>
      <c r="D481" s="102"/>
      <c r="E481" s="102"/>
      <c r="F481" s="102"/>
      <c r="G481" s="102"/>
      <c r="H481" s="102"/>
    </row>
    <row r="482" spans="1:8">
      <c r="A482" s="102"/>
      <c r="B482" s="102"/>
      <c r="C482" s="102"/>
      <c r="D482" s="102"/>
      <c r="E482" s="102"/>
      <c r="F482" s="102"/>
      <c r="G482" s="102"/>
      <c r="H482" s="102"/>
    </row>
    <row r="483" spans="1:8">
      <c r="A483" s="102"/>
      <c r="B483" s="102"/>
      <c r="C483" s="102"/>
      <c r="D483" s="102"/>
      <c r="E483" s="102"/>
      <c r="F483" s="102"/>
      <c r="G483" s="102"/>
      <c r="H483" s="102"/>
    </row>
    <row r="484" spans="1:8">
      <c r="A484" s="102"/>
      <c r="B484" s="102"/>
      <c r="C484" s="102"/>
      <c r="D484" s="102"/>
      <c r="E484" s="102"/>
      <c r="F484" s="102"/>
      <c r="G484" s="102"/>
      <c r="H484" s="102"/>
    </row>
    <row r="485" spans="1:8">
      <c r="A485" s="102"/>
      <c r="B485" s="102"/>
      <c r="C485" s="102"/>
      <c r="D485" s="102"/>
      <c r="E485" s="102"/>
      <c r="F485" s="102"/>
      <c r="G485" s="102"/>
      <c r="H485" s="102"/>
    </row>
    <row r="486" spans="1:8">
      <c r="A486" s="102"/>
      <c r="B486" s="102"/>
      <c r="C486" s="102"/>
      <c r="D486" s="102"/>
      <c r="E486" s="102"/>
      <c r="F486" s="102"/>
      <c r="G486" s="102"/>
      <c r="H486" s="102"/>
    </row>
    <row r="487" spans="1:8">
      <c r="A487" s="102"/>
      <c r="B487" s="102"/>
      <c r="C487" s="102"/>
      <c r="D487" s="102"/>
      <c r="E487" s="102"/>
      <c r="F487" s="102"/>
      <c r="G487" s="102"/>
      <c r="H487" s="102"/>
    </row>
    <row r="488" spans="1:8">
      <c r="A488" s="102"/>
      <c r="B488" s="102"/>
      <c r="C488" s="102"/>
      <c r="D488" s="102"/>
      <c r="E488" s="102"/>
      <c r="F488" s="102"/>
      <c r="G488" s="102"/>
      <c r="H488" s="102"/>
    </row>
    <row r="489" spans="1:8">
      <c r="A489" s="102"/>
      <c r="B489" s="102"/>
      <c r="C489" s="102"/>
      <c r="D489" s="102"/>
      <c r="E489" s="102"/>
      <c r="F489" s="102"/>
      <c r="G489" s="102"/>
      <c r="H489" s="102"/>
    </row>
    <row r="490" spans="1:8">
      <c r="A490" s="102"/>
      <c r="B490" s="102"/>
      <c r="C490" s="102"/>
      <c r="D490" s="102"/>
      <c r="E490" s="102"/>
      <c r="F490" s="102"/>
      <c r="G490" s="102"/>
      <c r="H490" s="102"/>
    </row>
    <row r="491" spans="1:8">
      <c r="A491" s="102"/>
      <c r="B491" s="102"/>
      <c r="C491" s="102"/>
      <c r="D491" s="102"/>
      <c r="E491" s="102"/>
      <c r="F491" s="102"/>
      <c r="G491" s="102"/>
      <c r="H491" s="102"/>
    </row>
    <row r="492" spans="1:8">
      <c r="A492" s="102"/>
      <c r="B492" s="102"/>
      <c r="C492" s="102"/>
      <c r="D492" s="102"/>
      <c r="E492" s="102"/>
      <c r="F492" s="102"/>
      <c r="G492" s="102"/>
      <c r="H492" s="102"/>
    </row>
    <row r="493" spans="1:8">
      <c r="A493" s="102"/>
      <c r="B493" s="102"/>
      <c r="C493" s="102"/>
      <c r="D493" s="102"/>
      <c r="E493" s="102"/>
      <c r="F493" s="102"/>
      <c r="G493" s="102"/>
      <c r="H493" s="102"/>
    </row>
    <row r="494" spans="1:8">
      <c r="A494" s="102"/>
      <c r="B494" s="102"/>
      <c r="C494" s="102"/>
      <c r="D494" s="102"/>
      <c r="E494" s="102"/>
      <c r="F494" s="102"/>
      <c r="G494" s="102"/>
      <c r="H494" s="102"/>
    </row>
    <row r="495" spans="1:8">
      <c r="A495" s="102"/>
      <c r="B495" s="102"/>
      <c r="C495" s="102"/>
      <c r="D495" s="102"/>
      <c r="E495" s="102"/>
      <c r="F495" s="102"/>
      <c r="G495" s="102"/>
      <c r="H495" s="102"/>
    </row>
    <row r="496" spans="1:8">
      <c r="A496" s="102"/>
      <c r="B496" s="102"/>
      <c r="C496" s="102"/>
      <c r="D496" s="102"/>
      <c r="E496" s="102"/>
      <c r="F496" s="102"/>
      <c r="G496" s="102"/>
      <c r="H496" s="102"/>
    </row>
    <row r="497" spans="1:8">
      <c r="A497" s="102"/>
      <c r="B497" s="102"/>
      <c r="C497" s="102"/>
      <c r="D497" s="102"/>
      <c r="E497" s="102"/>
      <c r="F497" s="102"/>
      <c r="G497" s="102"/>
      <c r="H497" s="102"/>
    </row>
    <row r="498" spans="1:8">
      <c r="A498" s="102"/>
      <c r="B498" s="102"/>
      <c r="C498" s="102"/>
      <c r="D498" s="102"/>
      <c r="E498" s="102"/>
      <c r="F498" s="102"/>
      <c r="G498" s="102"/>
      <c r="H498" s="102"/>
    </row>
    <row r="499" spans="1:8">
      <c r="A499" s="102"/>
      <c r="B499" s="102"/>
      <c r="C499" s="102"/>
      <c r="D499" s="102"/>
      <c r="E499" s="102"/>
      <c r="F499" s="102"/>
      <c r="G499" s="102"/>
      <c r="H499" s="102"/>
    </row>
    <row r="500" spans="1:8">
      <c r="A500" s="102"/>
      <c r="B500" s="102"/>
      <c r="C500" s="102"/>
      <c r="D500" s="102"/>
      <c r="E500" s="102"/>
      <c r="F500" s="102"/>
      <c r="G500" s="102"/>
      <c r="H500" s="102"/>
    </row>
    <row r="501" spans="1:8">
      <c r="A501" s="102"/>
      <c r="B501" s="102"/>
      <c r="C501" s="102"/>
      <c r="D501" s="102"/>
      <c r="E501" s="102"/>
      <c r="F501" s="102"/>
      <c r="G501" s="102"/>
      <c r="H501" s="102"/>
    </row>
    <row r="502" spans="1:8">
      <c r="A502" s="102"/>
      <c r="B502" s="102"/>
      <c r="C502" s="102"/>
      <c r="D502" s="102"/>
      <c r="E502" s="102"/>
      <c r="F502" s="102"/>
      <c r="G502" s="102"/>
      <c r="H502" s="102"/>
    </row>
    <row r="503" spans="1:8">
      <c r="A503" s="102"/>
      <c r="B503" s="102"/>
      <c r="C503" s="102"/>
      <c r="D503" s="102"/>
      <c r="E503" s="102"/>
      <c r="F503" s="102"/>
      <c r="G503" s="102"/>
      <c r="H503" s="102"/>
    </row>
    <row r="504" spans="1:8">
      <c r="A504" s="102"/>
      <c r="B504" s="102"/>
      <c r="C504" s="102"/>
      <c r="D504" s="102"/>
      <c r="E504" s="102"/>
      <c r="F504" s="102"/>
      <c r="G504" s="102"/>
      <c r="H504" s="102"/>
    </row>
    <row r="505" spans="1:8">
      <c r="A505" s="102"/>
      <c r="B505" s="102"/>
      <c r="C505" s="102"/>
      <c r="D505" s="102"/>
      <c r="E505" s="102"/>
      <c r="F505" s="102"/>
      <c r="G505" s="102"/>
      <c r="H505" s="102"/>
    </row>
    <row r="506" spans="1:8">
      <c r="A506" s="102"/>
      <c r="B506" s="102"/>
      <c r="C506" s="102"/>
      <c r="D506" s="102"/>
      <c r="E506" s="102"/>
      <c r="F506" s="102"/>
      <c r="G506" s="102"/>
      <c r="H506" s="102"/>
    </row>
    <row r="507" spans="1:8">
      <c r="A507" s="102"/>
      <c r="B507" s="102"/>
      <c r="C507" s="102"/>
      <c r="D507" s="102"/>
      <c r="E507" s="102"/>
      <c r="F507" s="102"/>
      <c r="G507" s="102"/>
      <c r="H507" s="102"/>
    </row>
    <row r="508" spans="1:8">
      <c r="A508" s="102"/>
      <c r="B508" s="102"/>
      <c r="C508" s="102"/>
      <c r="D508" s="102"/>
      <c r="E508" s="102"/>
      <c r="F508" s="102"/>
      <c r="G508" s="102"/>
      <c r="H508" s="102"/>
    </row>
    <row r="509" spans="1:8">
      <c r="A509" s="102"/>
      <c r="B509" s="102"/>
      <c r="C509" s="102"/>
      <c r="D509" s="102"/>
      <c r="E509" s="102"/>
      <c r="F509" s="102"/>
      <c r="G509" s="102"/>
      <c r="H509" s="102"/>
    </row>
    <row r="510" spans="1:8">
      <c r="A510" s="102"/>
      <c r="B510" s="102"/>
      <c r="C510" s="102"/>
      <c r="D510" s="102"/>
      <c r="E510" s="102"/>
      <c r="F510" s="102"/>
      <c r="G510" s="102"/>
      <c r="H510" s="102"/>
    </row>
    <row r="511" spans="1:8">
      <c r="A511" s="102"/>
      <c r="B511" s="102"/>
      <c r="C511" s="102"/>
      <c r="D511" s="102"/>
      <c r="E511" s="102"/>
      <c r="F511" s="102"/>
      <c r="G511" s="102"/>
      <c r="H511" s="102"/>
    </row>
    <row r="512" spans="1:8">
      <c r="A512" s="102"/>
      <c r="B512" s="102"/>
      <c r="C512" s="102"/>
      <c r="D512" s="102"/>
      <c r="E512" s="102"/>
      <c r="F512" s="102"/>
      <c r="G512" s="102"/>
      <c r="H512" s="102"/>
    </row>
    <row r="513" spans="1:8">
      <c r="A513" s="102"/>
      <c r="B513" s="102"/>
      <c r="C513" s="102"/>
      <c r="D513" s="102"/>
      <c r="E513" s="102"/>
      <c r="F513" s="102"/>
      <c r="G513" s="102"/>
      <c r="H513" s="102"/>
    </row>
    <row r="514" spans="1:8">
      <c r="A514" s="102"/>
      <c r="B514" s="102"/>
      <c r="C514" s="102"/>
      <c r="D514" s="102"/>
      <c r="E514" s="102"/>
      <c r="F514" s="102"/>
      <c r="G514" s="102"/>
      <c r="H514" s="102"/>
    </row>
    <row r="515" spans="1:8">
      <c r="A515" s="102"/>
      <c r="B515" s="102"/>
      <c r="C515" s="102"/>
      <c r="D515" s="102"/>
      <c r="E515" s="102"/>
      <c r="F515" s="102"/>
      <c r="G515" s="102"/>
      <c r="H515" s="102"/>
    </row>
    <row r="516" spans="1:8">
      <c r="A516" s="102"/>
      <c r="B516" s="102"/>
      <c r="C516" s="102"/>
      <c r="D516" s="102"/>
      <c r="E516" s="102"/>
      <c r="F516" s="102"/>
      <c r="G516" s="102"/>
      <c r="H516" s="102"/>
    </row>
    <row r="517" spans="1:8">
      <c r="A517" s="102"/>
      <c r="B517" s="102"/>
      <c r="C517" s="102"/>
      <c r="D517" s="102"/>
      <c r="E517" s="102"/>
      <c r="F517" s="102"/>
      <c r="G517" s="102"/>
      <c r="H517" s="102"/>
    </row>
    <row r="518" spans="1:8">
      <c r="A518" s="102"/>
      <c r="B518" s="102"/>
      <c r="C518" s="102"/>
      <c r="D518" s="102"/>
      <c r="E518" s="102"/>
      <c r="F518" s="102"/>
      <c r="G518" s="102"/>
      <c r="H518" s="102"/>
    </row>
    <row r="519" spans="1:8">
      <c r="A519" s="102"/>
      <c r="B519" s="102"/>
      <c r="C519" s="102"/>
      <c r="D519" s="102"/>
      <c r="E519" s="102"/>
      <c r="F519" s="102"/>
      <c r="G519" s="102"/>
      <c r="H519" s="102"/>
    </row>
    <row r="520" spans="1:8">
      <c r="A520" s="102"/>
      <c r="B520" s="102"/>
      <c r="C520" s="102"/>
      <c r="D520" s="102"/>
      <c r="E520" s="102"/>
      <c r="F520" s="102"/>
      <c r="G520" s="102"/>
      <c r="H520" s="102"/>
    </row>
    <row r="521" spans="1:8">
      <c r="A521" s="102"/>
      <c r="B521" s="102"/>
      <c r="C521" s="102"/>
      <c r="D521" s="102"/>
      <c r="E521" s="102"/>
      <c r="F521" s="102"/>
      <c r="G521" s="102"/>
      <c r="H521" s="102"/>
    </row>
    <row r="522" spans="1:8">
      <c r="A522" s="102"/>
      <c r="B522" s="102"/>
      <c r="C522" s="102"/>
      <c r="D522" s="102"/>
      <c r="E522" s="102"/>
      <c r="F522" s="102"/>
      <c r="G522" s="102"/>
      <c r="H522" s="102"/>
    </row>
    <row r="523" spans="1:8">
      <c r="A523" s="102"/>
      <c r="B523" s="102"/>
      <c r="C523" s="102"/>
      <c r="D523" s="102"/>
      <c r="E523" s="102"/>
      <c r="F523" s="102"/>
      <c r="G523" s="102"/>
      <c r="H523" s="102"/>
    </row>
    <row r="524" spans="1:8">
      <c r="A524" s="102"/>
      <c r="B524" s="102"/>
      <c r="C524" s="102"/>
      <c r="D524" s="102"/>
      <c r="E524" s="102"/>
      <c r="F524" s="102"/>
      <c r="G524" s="102"/>
      <c r="H524" s="102"/>
    </row>
    <row r="525" spans="1:8">
      <c r="A525" s="102"/>
      <c r="B525" s="102"/>
      <c r="C525" s="102"/>
      <c r="D525" s="102"/>
      <c r="E525" s="102"/>
      <c r="F525" s="102"/>
      <c r="G525" s="102"/>
      <c r="H525" s="102"/>
    </row>
    <row r="526" spans="1:8">
      <c r="A526" s="102"/>
      <c r="B526" s="102"/>
      <c r="C526" s="102"/>
      <c r="D526" s="102"/>
      <c r="E526" s="102"/>
      <c r="F526" s="102"/>
      <c r="G526" s="102"/>
      <c r="H526" s="102"/>
    </row>
    <row r="527" spans="1:8">
      <c r="A527" s="102"/>
      <c r="B527" s="102"/>
      <c r="C527" s="102"/>
      <c r="D527" s="102"/>
      <c r="E527" s="102"/>
      <c r="F527" s="102"/>
      <c r="G527" s="102"/>
      <c r="H527" s="102"/>
    </row>
    <row r="528" spans="1:8">
      <c r="A528" s="102"/>
      <c r="B528" s="102"/>
      <c r="C528" s="102"/>
      <c r="D528" s="102"/>
      <c r="E528" s="102"/>
      <c r="F528" s="102"/>
      <c r="G528" s="102"/>
      <c r="H528" s="102"/>
    </row>
    <row r="529" spans="1:8">
      <c r="A529" s="102"/>
      <c r="B529" s="102"/>
      <c r="C529" s="102"/>
      <c r="D529" s="102"/>
      <c r="E529" s="102"/>
      <c r="F529" s="102"/>
      <c r="G529" s="102"/>
      <c r="H529" s="102"/>
    </row>
    <row r="530" spans="1:8">
      <c r="A530" s="102"/>
      <c r="B530" s="102"/>
      <c r="C530" s="102"/>
      <c r="D530" s="102"/>
      <c r="E530" s="102"/>
      <c r="F530" s="102"/>
      <c r="G530" s="102"/>
      <c r="H530" s="102"/>
    </row>
    <row r="531" spans="1:8">
      <c r="A531" s="102"/>
      <c r="B531" s="102"/>
      <c r="C531" s="102"/>
      <c r="D531" s="102"/>
      <c r="E531" s="102"/>
      <c r="F531" s="102"/>
      <c r="G531" s="102"/>
      <c r="H531" s="102"/>
    </row>
    <row r="532" spans="1:8">
      <c r="A532" s="102"/>
      <c r="B532" s="102"/>
      <c r="C532" s="102"/>
      <c r="D532" s="102"/>
      <c r="E532" s="102"/>
      <c r="F532" s="102"/>
      <c r="G532" s="102"/>
      <c r="H532" s="102"/>
    </row>
    <row r="533" spans="1:8">
      <c r="A533" s="102"/>
      <c r="B533" s="102"/>
      <c r="C533" s="102"/>
      <c r="D533" s="102"/>
      <c r="E533" s="102"/>
      <c r="F533" s="102"/>
      <c r="G533" s="102"/>
      <c r="H533" s="102"/>
    </row>
    <row r="534" spans="1:8">
      <c r="A534" s="102"/>
      <c r="B534" s="102"/>
      <c r="C534" s="102"/>
      <c r="D534" s="102"/>
      <c r="E534" s="102"/>
      <c r="F534" s="102"/>
      <c r="G534" s="102"/>
      <c r="H534" s="102"/>
    </row>
    <row r="535" spans="1:8">
      <c r="A535" s="102"/>
      <c r="B535" s="102"/>
      <c r="C535" s="102"/>
      <c r="D535" s="102"/>
      <c r="E535" s="102"/>
      <c r="F535" s="102"/>
      <c r="G535" s="102"/>
      <c r="H535" s="102"/>
    </row>
    <row r="536" spans="1:8">
      <c r="A536" s="102"/>
      <c r="B536" s="102"/>
      <c r="C536" s="102"/>
      <c r="D536" s="102"/>
      <c r="E536" s="102"/>
      <c r="F536" s="102"/>
      <c r="G536" s="102"/>
      <c r="H536" s="102"/>
    </row>
    <row r="537" spans="1:8">
      <c r="A537" s="102"/>
      <c r="B537" s="102"/>
      <c r="C537" s="102"/>
      <c r="D537" s="102"/>
      <c r="E537" s="102"/>
      <c r="F537" s="102"/>
      <c r="G537" s="102"/>
      <c r="H537" s="102"/>
    </row>
    <row r="538" spans="1:8">
      <c r="A538" s="102"/>
      <c r="B538" s="102"/>
      <c r="C538" s="102"/>
      <c r="D538" s="102"/>
      <c r="E538" s="102"/>
      <c r="F538" s="102"/>
      <c r="G538" s="102"/>
      <c r="H538" s="102"/>
    </row>
    <row r="539" spans="1:8">
      <c r="A539" s="102"/>
      <c r="B539" s="102"/>
      <c r="C539" s="102"/>
      <c r="D539" s="102"/>
      <c r="E539" s="102"/>
      <c r="F539" s="102"/>
      <c r="G539" s="102"/>
      <c r="H539" s="102"/>
    </row>
    <row r="540" spans="1:8">
      <c r="A540" s="102"/>
      <c r="B540" s="102"/>
      <c r="C540" s="102"/>
      <c r="D540" s="102"/>
      <c r="E540" s="102"/>
      <c r="F540" s="102"/>
      <c r="G540" s="102"/>
      <c r="H540" s="102"/>
    </row>
    <row r="541" spans="1:8">
      <c r="A541" s="102"/>
      <c r="B541" s="102"/>
      <c r="C541" s="102"/>
      <c r="D541" s="102"/>
      <c r="E541" s="102"/>
      <c r="F541" s="102"/>
      <c r="G541" s="102"/>
      <c r="H541" s="102"/>
    </row>
    <row r="542" spans="1:8">
      <c r="A542" s="102"/>
      <c r="B542" s="102"/>
      <c r="C542" s="102"/>
      <c r="D542" s="102"/>
      <c r="E542" s="102"/>
      <c r="F542" s="102"/>
      <c r="G542" s="102"/>
      <c r="H542" s="102"/>
    </row>
    <row r="543" spans="1:8">
      <c r="A543" s="102"/>
      <c r="B543" s="102"/>
      <c r="C543" s="102"/>
      <c r="D543" s="102"/>
      <c r="E543" s="102"/>
      <c r="F543" s="102"/>
      <c r="G543" s="102"/>
      <c r="H543" s="102"/>
    </row>
    <row r="544" spans="1:8">
      <c r="A544" s="102"/>
      <c r="B544" s="102"/>
      <c r="C544" s="102"/>
      <c r="D544" s="102"/>
      <c r="E544" s="102"/>
      <c r="F544" s="102"/>
      <c r="G544" s="102"/>
      <c r="H544" s="102"/>
    </row>
    <row r="545" spans="1:8">
      <c r="A545" s="102"/>
      <c r="B545" s="102"/>
      <c r="C545" s="102"/>
      <c r="D545" s="102"/>
      <c r="E545" s="102"/>
      <c r="F545" s="102"/>
      <c r="G545" s="102"/>
      <c r="H545" s="102"/>
    </row>
    <row r="546" spans="1:8">
      <c r="A546" s="102"/>
      <c r="B546" s="102"/>
      <c r="C546" s="102"/>
      <c r="D546" s="102"/>
      <c r="E546" s="102"/>
      <c r="F546" s="102"/>
      <c r="G546" s="102"/>
      <c r="H546" s="102"/>
    </row>
    <row r="547" spans="1:8">
      <c r="A547" s="102"/>
      <c r="B547" s="102"/>
      <c r="C547" s="102"/>
      <c r="D547" s="102"/>
      <c r="E547" s="102"/>
      <c r="F547" s="102"/>
      <c r="G547" s="102"/>
      <c r="H547" s="102"/>
    </row>
    <row r="548" spans="1:8">
      <c r="A548" s="102"/>
      <c r="B548" s="102"/>
      <c r="C548" s="102"/>
      <c r="D548" s="102"/>
      <c r="E548" s="102"/>
      <c r="F548" s="102"/>
      <c r="G548" s="102"/>
      <c r="H548" s="102"/>
    </row>
    <row r="549" spans="1:8">
      <c r="A549" s="102"/>
      <c r="B549" s="102"/>
      <c r="C549" s="102"/>
      <c r="D549" s="102"/>
      <c r="E549" s="102"/>
      <c r="F549" s="102"/>
      <c r="G549" s="102"/>
      <c r="H549" s="102"/>
    </row>
    <row r="550" spans="1:8">
      <c r="A550" s="102"/>
      <c r="B550" s="102"/>
      <c r="C550" s="102"/>
      <c r="D550" s="102"/>
      <c r="E550" s="102"/>
      <c r="F550" s="102"/>
      <c r="G550" s="102"/>
      <c r="H550" s="102"/>
    </row>
    <row r="551" spans="1:8">
      <c r="A551" s="102"/>
      <c r="B551" s="102"/>
      <c r="C551" s="102"/>
      <c r="D551" s="102"/>
      <c r="E551" s="102"/>
      <c r="F551" s="102"/>
      <c r="G551" s="102"/>
      <c r="H551" s="102"/>
    </row>
    <row r="552" spans="1:8">
      <c r="A552" s="102"/>
      <c r="B552" s="102"/>
      <c r="C552" s="102"/>
      <c r="D552" s="102"/>
      <c r="E552" s="102"/>
      <c r="F552" s="102"/>
      <c r="G552" s="102"/>
      <c r="H552" s="102"/>
    </row>
    <row r="553" spans="1:8">
      <c r="A553" s="102"/>
      <c r="B553" s="102"/>
      <c r="C553" s="102"/>
      <c r="D553" s="102"/>
      <c r="E553" s="102"/>
      <c r="F553" s="102"/>
      <c r="G553" s="102"/>
      <c r="H553" s="102"/>
    </row>
    <row r="554" spans="1:8">
      <c r="A554" s="102"/>
      <c r="B554" s="102"/>
      <c r="C554" s="102"/>
      <c r="D554" s="102"/>
      <c r="E554" s="102"/>
      <c r="F554" s="102"/>
      <c r="G554" s="102"/>
      <c r="H554" s="102"/>
    </row>
    <row r="555" spans="1:8">
      <c r="A555" s="102"/>
      <c r="B555" s="102"/>
      <c r="C555" s="102"/>
      <c r="D555" s="102"/>
      <c r="E555" s="102"/>
      <c r="F555" s="102"/>
      <c r="G555" s="102"/>
      <c r="H555" s="102"/>
    </row>
    <row r="556" spans="1:8">
      <c r="A556" s="102"/>
      <c r="B556" s="102"/>
      <c r="C556" s="102"/>
      <c r="D556" s="102"/>
      <c r="E556" s="102"/>
      <c r="F556" s="102"/>
      <c r="G556" s="102"/>
      <c r="H556" s="102"/>
    </row>
    <row r="557" spans="1:8">
      <c r="A557" s="102"/>
      <c r="B557" s="102"/>
      <c r="C557" s="102"/>
      <c r="D557" s="102"/>
      <c r="E557" s="102"/>
      <c r="F557" s="102"/>
      <c r="G557" s="102"/>
      <c r="H557" s="102"/>
    </row>
    <row r="558" spans="1:8">
      <c r="A558" s="102"/>
      <c r="B558" s="102"/>
      <c r="C558" s="102"/>
      <c r="D558" s="102"/>
      <c r="E558" s="102"/>
      <c r="F558" s="102"/>
      <c r="G558" s="102"/>
      <c r="H558" s="102"/>
    </row>
    <row r="559" spans="1:8">
      <c r="A559" s="102"/>
      <c r="B559" s="102"/>
      <c r="C559" s="102"/>
      <c r="D559" s="102"/>
      <c r="E559" s="102"/>
      <c r="F559" s="102"/>
      <c r="G559" s="102"/>
      <c r="H559" s="102"/>
    </row>
    <row r="560" spans="1:8">
      <c r="A560" s="102"/>
      <c r="B560" s="102"/>
      <c r="C560" s="102"/>
      <c r="D560" s="102"/>
      <c r="E560" s="102"/>
      <c r="F560" s="102"/>
      <c r="G560" s="102"/>
      <c r="H560" s="102"/>
    </row>
    <row r="561" spans="1:8">
      <c r="A561" s="102"/>
      <c r="B561" s="102"/>
      <c r="C561" s="102"/>
      <c r="D561" s="102"/>
      <c r="E561" s="102"/>
      <c r="F561" s="102"/>
      <c r="G561" s="102"/>
      <c r="H561" s="102"/>
    </row>
    <row r="562" spans="1:8">
      <c r="A562" s="102"/>
      <c r="B562" s="102"/>
      <c r="C562" s="102"/>
      <c r="D562" s="102"/>
      <c r="E562" s="102"/>
      <c r="F562" s="102"/>
      <c r="G562" s="102"/>
      <c r="H562" s="102"/>
    </row>
    <row r="563" spans="1:8">
      <c r="A563" s="102"/>
      <c r="B563" s="102"/>
      <c r="C563" s="102"/>
      <c r="D563" s="102"/>
      <c r="E563" s="102"/>
      <c r="F563" s="102"/>
      <c r="G563" s="102"/>
      <c r="H563" s="102"/>
    </row>
    <row r="564" spans="1:8">
      <c r="A564" s="102"/>
      <c r="B564" s="102"/>
      <c r="C564" s="102"/>
      <c r="D564" s="102"/>
      <c r="E564" s="102"/>
      <c r="F564" s="102"/>
      <c r="G564" s="102"/>
      <c r="H564" s="102"/>
    </row>
    <row r="565" spans="1:8">
      <c r="A565" s="102"/>
      <c r="B565" s="102"/>
      <c r="C565" s="102"/>
      <c r="D565" s="102"/>
      <c r="E565" s="102"/>
      <c r="F565" s="102"/>
      <c r="G565" s="102"/>
      <c r="H565" s="102"/>
    </row>
    <row r="566" spans="1:8">
      <c r="A566" s="102"/>
      <c r="B566" s="102"/>
      <c r="C566" s="102"/>
      <c r="D566" s="102"/>
      <c r="E566" s="102"/>
      <c r="F566" s="102"/>
      <c r="G566" s="102"/>
      <c r="H566" s="102"/>
    </row>
    <row r="567" spans="1:8">
      <c r="A567" s="102"/>
      <c r="B567" s="102"/>
      <c r="C567" s="102"/>
      <c r="D567" s="102"/>
      <c r="E567" s="102"/>
      <c r="F567" s="102"/>
      <c r="G567" s="102"/>
      <c r="H567" s="102"/>
    </row>
    <row r="568" spans="1:8">
      <c r="A568" s="102"/>
      <c r="B568" s="102"/>
      <c r="C568" s="102"/>
      <c r="D568" s="102"/>
      <c r="E568" s="102"/>
      <c r="F568" s="102"/>
      <c r="G568" s="102"/>
      <c r="H568" s="102"/>
    </row>
    <row r="569" spans="1:8">
      <c r="A569" s="102"/>
      <c r="B569" s="102"/>
      <c r="C569" s="102"/>
      <c r="D569" s="102"/>
      <c r="E569" s="102"/>
      <c r="F569" s="102"/>
      <c r="G569" s="102"/>
      <c r="H569" s="102"/>
    </row>
    <row r="570" spans="1:8">
      <c r="A570" s="102"/>
      <c r="B570" s="102"/>
      <c r="C570" s="102"/>
      <c r="D570" s="102"/>
      <c r="E570" s="102"/>
      <c r="F570" s="102"/>
      <c r="G570" s="102"/>
      <c r="H570" s="102"/>
    </row>
    <row r="571" spans="1:8">
      <c r="A571" s="102"/>
      <c r="B571" s="102"/>
      <c r="C571" s="102"/>
      <c r="D571" s="102"/>
      <c r="E571" s="102"/>
      <c r="F571" s="102"/>
      <c r="G571" s="102"/>
      <c r="H571" s="102"/>
    </row>
    <row r="572" spans="1:8">
      <c r="A572" s="102"/>
      <c r="B572" s="102"/>
      <c r="C572" s="102"/>
      <c r="D572" s="102"/>
      <c r="E572" s="102"/>
      <c r="F572" s="102"/>
      <c r="G572" s="102"/>
      <c r="H572" s="102"/>
    </row>
    <row r="573" spans="1:8">
      <c r="A573" s="102"/>
      <c r="B573" s="102"/>
      <c r="C573" s="102"/>
      <c r="D573" s="102"/>
      <c r="E573" s="102"/>
      <c r="F573" s="102"/>
      <c r="G573" s="102"/>
      <c r="H573" s="102"/>
    </row>
    <row r="574" spans="1:8">
      <c r="A574" s="102"/>
      <c r="B574" s="102"/>
      <c r="C574" s="102"/>
      <c r="D574" s="102"/>
      <c r="E574" s="102"/>
      <c r="F574" s="102"/>
      <c r="G574" s="102"/>
      <c r="H574" s="102"/>
    </row>
    <row r="575" spans="1:8">
      <c r="A575" s="102"/>
      <c r="B575" s="102"/>
      <c r="C575" s="102"/>
      <c r="D575" s="102"/>
      <c r="E575" s="102"/>
      <c r="F575" s="102"/>
      <c r="G575" s="102"/>
      <c r="H575" s="102"/>
    </row>
    <row r="576" spans="1:8">
      <c r="A576" s="102"/>
      <c r="B576" s="102"/>
      <c r="C576" s="102"/>
      <c r="D576" s="102"/>
      <c r="E576" s="102"/>
      <c r="F576" s="102"/>
      <c r="G576" s="102"/>
      <c r="H576" s="102"/>
    </row>
    <row r="577" spans="1:8">
      <c r="A577" s="102"/>
      <c r="B577" s="102"/>
      <c r="C577" s="102"/>
      <c r="D577" s="102"/>
      <c r="E577" s="102"/>
      <c r="F577" s="102"/>
      <c r="G577" s="102"/>
      <c r="H577" s="102"/>
    </row>
    <row r="578" spans="1:8">
      <c r="A578" s="102"/>
      <c r="B578" s="102"/>
      <c r="C578" s="102"/>
      <c r="D578" s="102"/>
      <c r="E578" s="102"/>
      <c r="F578" s="102"/>
      <c r="G578" s="102"/>
      <c r="H578" s="102"/>
    </row>
    <row r="579" spans="1:8">
      <c r="A579" s="102"/>
      <c r="B579" s="102"/>
      <c r="C579" s="102"/>
      <c r="D579" s="102"/>
      <c r="E579" s="102"/>
      <c r="F579" s="102"/>
      <c r="G579" s="102"/>
      <c r="H579" s="102"/>
    </row>
    <row r="580" spans="1:8">
      <c r="A580" s="102"/>
      <c r="B580" s="102"/>
      <c r="C580" s="102"/>
      <c r="D580" s="102"/>
      <c r="E580" s="102"/>
      <c r="F580" s="102"/>
      <c r="G580" s="102"/>
      <c r="H580" s="102"/>
    </row>
    <row r="581" spans="1:8">
      <c r="A581" s="102"/>
      <c r="B581" s="102"/>
      <c r="C581" s="102"/>
      <c r="D581" s="102"/>
      <c r="E581" s="102"/>
      <c r="F581" s="102"/>
      <c r="G581" s="102"/>
      <c r="H581" s="102"/>
    </row>
    <row r="582" spans="1:8">
      <c r="A582" s="102"/>
      <c r="B582" s="102"/>
      <c r="C582" s="102"/>
      <c r="D582" s="102"/>
      <c r="E582" s="102"/>
      <c r="F582" s="102"/>
      <c r="G582" s="102"/>
      <c r="H582" s="102"/>
    </row>
    <row r="583" spans="1:8">
      <c r="A583" s="102"/>
      <c r="B583" s="102"/>
      <c r="C583" s="102"/>
      <c r="D583" s="102"/>
      <c r="E583" s="102"/>
      <c r="F583" s="102"/>
      <c r="G583" s="102"/>
      <c r="H583" s="102"/>
    </row>
    <row r="584" spans="1:8">
      <c r="A584" s="102"/>
      <c r="B584" s="102"/>
      <c r="C584" s="102"/>
      <c r="D584" s="102"/>
      <c r="E584" s="102"/>
      <c r="F584" s="102"/>
      <c r="G584" s="102"/>
      <c r="H584" s="102"/>
    </row>
    <row r="585" spans="1:8">
      <c r="A585" s="102"/>
      <c r="B585" s="102"/>
      <c r="C585" s="102"/>
      <c r="D585" s="102"/>
      <c r="E585" s="102"/>
      <c r="F585" s="102"/>
      <c r="G585" s="102"/>
      <c r="H585" s="102"/>
    </row>
    <row r="586" spans="1:8">
      <c r="A586" s="102"/>
      <c r="B586" s="102"/>
      <c r="C586" s="102"/>
      <c r="D586" s="102"/>
      <c r="E586" s="102"/>
      <c r="F586" s="102"/>
      <c r="G586" s="102"/>
      <c r="H586" s="102"/>
    </row>
    <row r="587" spans="1:8">
      <c r="A587" s="102"/>
      <c r="B587" s="102"/>
      <c r="C587" s="102"/>
      <c r="D587" s="102"/>
      <c r="E587" s="102"/>
      <c r="F587" s="102"/>
      <c r="G587" s="102"/>
      <c r="H587" s="102"/>
    </row>
    <row r="588" spans="1:8">
      <c r="A588" s="102"/>
      <c r="B588" s="102"/>
      <c r="C588" s="102"/>
      <c r="D588" s="102"/>
      <c r="E588" s="102"/>
      <c r="F588" s="102"/>
      <c r="G588" s="102"/>
      <c r="H588" s="102"/>
    </row>
    <row r="589" spans="1:8">
      <c r="A589" s="102"/>
      <c r="B589" s="102"/>
      <c r="C589" s="102"/>
      <c r="D589" s="102"/>
      <c r="E589" s="102"/>
      <c r="F589" s="102"/>
      <c r="G589" s="102"/>
      <c r="H589" s="102"/>
    </row>
    <row r="590" spans="1:8">
      <c r="A590" s="102"/>
      <c r="B590" s="102"/>
      <c r="C590" s="102"/>
      <c r="D590" s="102"/>
      <c r="E590" s="102"/>
      <c r="F590" s="102"/>
      <c r="G590" s="102"/>
      <c r="H590" s="102"/>
    </row>
    <row r="591" spans="1:8">
      <c r="A591" s="102"/>
      <c r="B591" s="102"/>
      <c r="C591" s="102"/>
      <c r="D591" s="102"/>
      <c r="E591" s="102"/>
      <c r="F591" s="102"/>
      <c r="G591" s="102"/>
      <c r="H591" s="102"/>
    </row>
    <row r="592" spans="1:8">
      <c r="A592" s="102"/>
      <c r="B592" s="102"/>
      <c r="C592" s="102"/>
      <c r="D592" s="102"/>
      <c r="E592" s="102"/>
      <c r="F592" s="102"/>
      <c r="G592" s="102"/>
      <c r="H592" s="102"/>
    </row>
    <row r="593" spans="1:8">
      <c r="A593" s="102"/>
      <c r="B593" s="102"/>
      <c r="C593" s="102"/>
      <c r="D593" s="102"/>
      <c r="E593" s="102"/>
      <c r="F593" s="102"/>
      <c r="G593" s="102"/>
      <c r="H593" s="102"/>
    </row>
    <row r="594" spans="1:8">
      <c r="A594" s="102"/>
      <c r="B594" s="102"/>
      <c r="C594" s="102"/>
      <c r="D594" s="102"/>
      <c r="E594" s="102"/>
      <c r="F594" s="102"/>
      <c r="G594" s="102"/>
      <c r="H594" s="102"/>
    </row>
    <row r="595" spans="1:8">
      <c r="A595" s="102"/>
      <c r="B595" s="102"/>
      <c r="C595" s="102"/>
      <c r="D595" s="102"/>
      <c r="E595" s="102"/>
      <c r="F595" s="102"/>
      <c r="G595" s="102"/>
      <c r="H595" s="102"/>
    </row>
    <row r="596" spans="1:8">
      <c r="A596" s="102"/>
      <c r="B596" s="102"/>
      <c r="C596" s="102"/>
      <c r="D596" s="102"/>
      <c r="E596" s="102"/>
      <c r="F596" s="102"/>
      <c r="G596" s="102"/>
      <c r="H596" s="102"/>
    </row>
    <row r="597" spans="1:8">
      <c r="A597" s="102"/>
      <c r="B597" s="102"/>
      <c r="C597" s="102"/>
      <c r="D597" s="102"/>
      <c r="E597" s="102"/>
      <c r="F597" s="102"/>
      <c r="G597" s="102"/>
      <c r="H597" s="102"/>
    </row>
    <row r="598" spans="1:8">
      <c r="A598" s="102"/>
      <c r="B598" s="102"/>
      <c r="C598" s="102"/>
      <c r="D598" s="102"/>
      <c r="E598" s="102"/>
      <c r="F598" s="102"/>
      <c r="G598" s="102"/>
      <c r="H598" s="102"/>
    </row>
    <row r="599" spans="1:8">
      <c r="A599" s="102"/>
      <c r="B599" s="102"/>
      <c r="C599" s="102"/>
      <c r="D599" s="102"/>
      <c r="E599" s="102"/>
      <c r="F599" s="102"/>
      <c r="G599" s="102"/>
      <c r="H599" s="102"/>
    </row>
    <row r="600" spans="1:8">
      <c r="A600" s="102"/>
      <c r="B600" s="102"/>
      <c r="C600" s="102"/>
      <c r="D600" s="102"/>
      <c r="E600" s="102"/>
      <c r="F600" s="102"/>
      <c r="G600" s="102"/>
      <c r="H600" s="102"/>
    </row>
    <row r="601" spans="1:8">
      <c r="A601" s="102"/>
      <c r="B601" s="102"/>
      <c r="C601" s="102"/>
      <c r="D601" s="102"/>
      <c r="E601" s="102"/>
      <c r="F601" s="102"/>
      <c r="G601" s="102"/>
      <c r="H601" s="102"/>
    </row>
    <row r="602" spans="1:8">
      <c r="A602" s="102"/>
      <c r="B602" s="102"/>
      <c r="C602" s="102"/>
      <c r="D602" s="102"/>
      <c r="E602" s="102"/>
      <c r="F602" s="102"/>
      <c r="G602" s="102"/>
      <c r="H602" s="102"/>
    </row>
    <row r="603" spans="1:8">
      <c r="A603" s="102"/>
      <c r="B603" s="102"/>
      <c r="C603" s="102"/>
      <c r="D603" s="102"/>
      <c r="E603" s="102"/>
      <c r="F603" s="102"/>
      <c r="G603" s="102"/>
      <c r="H603" s="102"/>
    </row>
    <row r="604" spans="1:8">
      <c r="A604" s="102"/>
      <c r="B604" s="102"/>
      <c r="C604" s="102"/>
      <c r="D604" s="102"/>
      <c r="E604" s="102"/>
      <c r="F604" s="102"/>
      <c r="G604" s="102"/>
      <c r="H604" s="102"/>
    </row>
    <row r="605" spans="1:8">
      <c r="A605" s="102"/>
      <c r="B605" s="102"/>
      <c r="C605" s="102"/>
      <c r="D605" s="102"/>
      <c r="E605" s="102"/>
      <c r="F605" s="102"/>
      <c r="G605" s="102"/>
      <c r="H605" s="102"/>
    </row>
    <row r="606" spans="1:8">
      <c r="A606" s="102"/>
      <c r="B606" s="102"/>
      <c r="C606" s="102"/>
      <c r="D606" s="102"/>
      <c r="E606" s="102"/>
      <c r="F606" s="102"/>
      <c r="G606" s="102"/>
      <c r="H606" s="102"/>
    </row>
    <row r="607" spans="1:8">
      <c r="A607" s="102"/>
      <c r="B607" s="102"/>
      <c r="C607" s="102"/>
      <c r="D607" s="102"/>
      <c r="E607" s="102"/>
      <c r="F607" s="102"/>
      <c r="G607" s="102"/>
      <c r="H607" s="102"/>
    </row>
    <row r="608" spans="1:8">
      <c r="A608" s="102"/>
      <c r="B608" s="102"/>
      <c r="C608" s="102"/>
      <c r="D608" s="102"/>
      <c r="E608" s="102"/>
      <c r="F608" s="102"/>
      <c r="G608" s="102"/>
      <c r="H608" s="102"/>
    </row>
    <row r="609" spans="1:8">
      <c r="A609" s="102"/>
      <c r="B609" s="102"/>
      <c r="C609" s="102"/>
      <c r="D609" s="102"/>
      <c r="E609" s="102"/>
      <c r="F609" s="102"/>
      <c r="G609" s="102"/>
      <c r="H609" s="102"/>
    </row>
    <row r="610" spans="1:8">
      <c r="A610" s="102"/>
      <c r="B610" s="102"/>
      <c r="C610" s="102"/>
      <c r="D610" s="102"/>
      <c r="E610" s="102"/>
      <c r="F610" s="102"/>
      <c r="G610" s="102"/>
      <c r="H610" s="102"/>
    </row>
    <row r="611" spans="1:8">
      <c r="A611" s="102"/>
      <c r="B611" s="102"/>
      <c r="C611" s="102"/>
      <c r="D611" s="102"/>
      <c r="E611" s="102"/>
      <c r="F611" s="102"/>
      <c r="G611" s="102"/>
      <c r="H611" s="102"/>
    </row>
    <row r="612" spans="1:8">
      <c r="A612" s="102"/>
      <c r="B612" s="102"/>
      <c r="C612" s="102"/>
      <c r="D612" s="102"/>
      <c r="E612" s="102"/>
      <c r="F612" s="102"/>
      <c r="G612" s="102"/>
      <c r="H612" s="102"/>
    </row>
    <row r="613" spans="1:8">
      <c r="A613" s="102"/>
      <c r="B613" s="102"/>
      <c r="C613" s="102"/>
      <c r="D613" s="102"/>
      <c r="E613" s="102"/>
      <c r="F613" s="102"/>
      <c r="G613" s="102"/>
      <c r="H613" s="102"/>
    </row>
    <row r="614" spans="1:8">
      <c r="A614" s="102"/>
      <c r="B614" s="102"/>
      <c r="C614" s="102"/>
      <c r="D614" s="102"/>
      <c r="E614" s="102"/>
      <c r="F614" s="102"/>
      <c r="G614" s="102"/>
      <c r="H614" s="102"/>
    </row>
    <row r="615" spans="1:8">
      <c r="A615" s="102"/>
      <c r="B615" s="102"/>
      <c r="C615" s="102"/>
      <c r="D615" s="102"/>
      <c r="E615" s="102"/>
      <c r="F615" s="102"/>
      <c r="G615" s="102"/>
      <c r="H615" s="102"/>
    </row>
    <row r="616" spans="1:8">
      <c r="A616" s="102"/>
      <c r="B616" s="102"/>
      <c r="C616" s="102"/>
      <c r="D616" s="102"/>
      <c r="E616" s="102"/>
      <c r="F616" s="102"/>
      <c r="G616" s="102"/>
      <c r="H616" s="102"/>
    </row>
    <row r="617" spans="1:8">
      <c r="A617" s="102"/>
      <c r="B617" s="102"/>
      <c r="C617" s="102"/>
      <c r="D617" s="102"/>
      <c r="E617" s="102"/>
      <c r="F617" s="102"/>
      <c r="G617" s="102"/>
      <c r="H617" s="102"/>
    </row>
    <row r="618" spans="1:8">
      <c r="A618" s="102"/>
      <c r="B618" s="102"/>
      <c r="C618" s="102"/>
      <c r="D618" s="102"/>
      <c r="E618" s="102"/>
      <c r="F618" s="102"/>
      <c r="G618" s="102"/>
      <c r="H618" s="102"/>
    </row>
    <row r="619" spans="1:8">
      <c r="A619" s="102"/>
      <c r="B619" s="102"/>
      <c r="C619" s="102"/>
      <c r="D619" s="102"/>
      <c r="E619" s="102"/>
      <c r="F619" s="102"/>
      <c r="G619" s="102"/>
      <c r="H619" s="102"/>
    </row>
    <row r="620" spans="1:8">
      <c r="A620" s="102"/>
      <c r="B620" s="102"/>
      <c r="C620" s="102"/>
      <c r="D620" s="102"/>
      <c r="E620" s="102"/>
      <c r="F620" s="102"/>
      <c r="G620" s="102"/>
      <c r="H620" s="102"/>
    </row>
    <row r="621" spans="1:8">
      <c r="A621" s="102"/>
      <c r="B621" s="102"/>
      <c r="C621" s="102"/>
      <c r="D621" s="102"/>
      <c r="E621" s="102"/>
      <c r="F621" s="102"/>
      <c r="G621" s="102"/>
      <c r="H621" s="102"/>
    </row>
    <row r="622" spans="1:8">
      <c r="A622" s="102"/>
      <c r="B622" s="102"/>
      <c r="C622" s="102"/>
      <c r="D622" s="102"/>
      <c r="E622" s="102"/>
      <c r="F622" s="102"/>
      <c r="G622" s="102"/>
      <c r="H622" s="102"/>
    </row>
    <row r="623" spans="1:8">
      <c r="A623" s="102"/>
      <c r="B623" s="102"/>
      <c r="C623" s="102"/>
      <c r="D623" s="102"/>
      <c r="E623" s="102"/>
      <c r="F623" s="102"/>
      <c r="G623" s="102"/>
      <c r="H623" s="102"/>
    </row>
    <row r="624" spans="1:8">
      <c r="A624" s="102"/>
      <c r="B624" s="102"/>
      <c r="C624" s="102"/>
      <c r="D624" s="102"/>
      <c r="E624" s="102"/>
      <c r="F624" s="102"/>
      <c r="G624" s="102"/>
      <c r="H624" s="102"/>
    </row>
    <row r="625" spans="1:8">
      <c r="A625" s="102"/>
      <c r="B625" s="102"/>
      <c r="C625" s="102"/>
      <c r="D625" s="102"/>
      <c r="E625" s="102"/>
      <c r="F625" s="102"/>
      <c r="G625" s="102"/>
      <c r="H625" s="102"/>
    </row>
    <row r="626" spans="1:8">
      <c r="A626" s="102"/>
      <c r="B626" s="102"/>
      <c r="C626" s="102"/>
      <c r="D626" s="102"/>
      <c r="E626" s="102"/>
      <c r="F626" s="102"/>
      <c r="G626" s="102"/>
      <c r="H626" s="102"/>
    </row>
  </sheetData>
  <mergeCells count="185">
    <mergeCell ref="C23:C24"/>
    <mergeCell ref="C87:C98"/>
    <mergeCell ref="D87:D98"/>
    <mergeCell ref="C78:C79"/>
    <mergeCell ref="E25:E26"/>
    <mergeCell ref="D78:D79"/>
    <mergeCell ref="A14:A100"/>
    <mergeCell ref="S76:S77"/>
    <mergeCell ref="D76:D77"/>
    <mergeCell ref="F76:F77"/>
    <mergeCell ref="G76:G77"/>
    <mergeCell ref="G83:G85"/>
    <mergeCell ref="F87:F98"/>
    <mergeCell ref="C25:C26"/>
    <mergeCell ref="B14:B100"/>
    <mergeCell ref="C76:C77"/>
    <mergeCell ref="C54:C57"/>
    <mergeCell ref="D54:D57"/>
    <mergeCell ref="H23:H24"/>
    <mergeCell ref="E20:E24"/>
    <mergeCell ref="C51:C53"/>
    <mergeCell ref="D28:D30"/>
    <mergeCell ref="D32:D36"/>
    <mergeCell ref="E28:E30"/>
    <mergeCell ref="E32:E36"/>
    <mergeCell ref="E37:E49"/>
    <mergeCell ref="G71:G74"/>
    <mergeCell ref="E78:E82"/>
    <mergeCell ref="E50:E77"/>
    <mergeCell ref="F78:F79"/>
    <mergeCell ref="E83:E100"/>
    <mergeCell ref="G87:G98"/>
    <mergeCell ref="C83:C85"/>
    <mergeCell ref="M78:M79"/>
    <mergeCell ref="K83:K85"/>
    <mergeCell ref="C71:C74"/>
    <mergeCell ref="D71:D74"/>
    <mergeCell ref="F71:F74"/>
    <mergeCell ref="H54:H57"/>
    <mergeCell ref="D83:D85"/>
    <mergeCell ref="H76:H77"/>
    <mergeCell ref="N83:N85"/>
    <mergeCell ref="F83:F85"/>
    <mergeCell ref="J83:J85"/>
    <mergeCell ref="M83:M85"/>
    <mergeCell ref="H83:H85"/>
    <mergeCell ref="N1:V1"/>
    <mergeCell ref="N5:V5"/>
    <mergeCell ref="F7:V7"/>
    <mergeCell ref="N4:V4"/>
    <mergeCell ref="V9:V10"/>
    <mergeCell ref="H18:H19"/>
    <mergeCell ref="I18:I19"/>
    <mergeCell ref="V71:V74"/>
    <mergeCell ref="Q54:Q57"/>
    <mergeCell ref="G54:G57"/>
    <mergeCell ref="V83:V85"/>
    <mergeCell ref="G23:G24"/>
    <mergeCell ref="F54:F57"/>
    <mergeCell ref="F23:F24"/>
    <mergeCell ref="I83:I85"/>
    <mergeCell ref="L76:L77"/>
    <mergeCell ref="M76:M77"/>
    <mergeCell ref="I78:I79"/>
    <mergeCell ref="D9:E9"/>
    <mergeCell ref="U76:U77"/>
    <mergeCell ref="J78:J79"/>
    <mergeCell ref="K78:K79"/>
    <mergeCell ref="N76:N77"/>
    <mergeCell ref="G78:G79"/>
    <mergeCell ref="I76:I77"/>
    <mergeCell ref="Q76:Q77"/>
    <mergeCell ref="R76:R77"/>
    <mergeCell ref="J76:J77"/>
    <mergeCell ref="H78:H79"/>
    <mergeCell ref="T76:T77"/>
    <mergeCell ref="N78:N79"/>
    <mergeCell ref="L78:L79"/>
    <mergeCell ref="O83:O85"/>
    <mergeCell ref="Q83:Q85"/>
    <mergeCell ref="D7:E7"/>
    <mergeCell ref="D8:E8"/>
    <mergeCell ref="F18:F19"/>
    <mergeCell ref="G18:G19"/>
    <mergeCell ref="T18:T19"/>
    <mergeCell ref="L18:L19"/>
    <mergeCell ref="E14:E15"/>
    <mergeCell ref="E16:E17"/>
    <mergeCell ref="E18:E19"/>
    <mergeCell ref="BF9:BF11"/>
    <mergeCell ref="S18:S19"/>
    <mergeCell ref="Q23:Q24"/>
    <mergeCell ref="R23:R24"/>
    <mergeCell ref="K18:K19"/>
    <mergeCell ref="S23:S24"/>
    <mergeCell ref="AV11:AW11"/>
    <mergeCell ref="AT11:AU11"/>
    <mergeCell ref="O23:O24"/>
    <mergeCell ref="P23:P24"/>
    <mergeCell ref="W9:X10"/>
    <mergeCell ref="V18:V19"/>
    <mergeCell ref="U18:U19"/>
    <mergeCell ref="P18:P19"/>
    <mergeCell ref="M18:M19"/>
    <mergeCell ref="K23:K24"/>
    <mergeCell ref="BD11:BE11"/>
    <mergeCell ref="BB11:BC11"/>
    <mergeCell ref="AZ11:BA11"/>
    <mergeCell ref="AX11:AY11"/>
    <mergeCell ref="AR11:AS11"/>
    <mergeCell ref="AP11:AQ11"/>
    <mergeCell ref="AN11:AO11"/>
    <mergeCell ref="M23:M24"/>
    <mergeCell ref="AH122:AJ122"/>
    <mergeCell ref="X123:X124"/>
    <mergeCell ref="H10:S11"/>
    <mergeCell ref="R18:R19"/>
    <mergeCell ref="Q18:Q19"/>
    <mergeCell ref="S78:S79"/>
    <mergeCell ref="S83:S85"/>
    <mergeCell ref="N18:N19"/>
    <mergeCell ref="N54:N57"/>
    <mergeCell ref="O18:O19"/>
    <mergeCell ref="X122:Y122"/>
    <mergeCell ref="P76:P77"/>
    <mergeCell ref="U87:U98"/>
    <mergeCell ref="T87:T98"/>
    <mergeCell ref="U78:U79"/>
    <mergeCell ref="P83:P85"/>
    <mergeCell ref="V87:V98"/>
    <mergeCell ref="Q78:Q79"/>
    <mergeCell ref="V78:V79"/>
    <mergeCell ref="X115:Y115"/>
    <mergeCell ref="M54:M57"/>
    <mergeCell ref="P54:P57"/>
    <mergeCell ref="P78:P79"/>
    <mergeCell ref="O54:O57"/>
    <mergeCell ref="AO121:AP121"/>
    <mergeCell ref="F109:I109"/>
    <mergeCell ref="K109:Q109"/>
    <mergeCell ref="F110:I110"/>
    <mergeCell ref="K110:Q110"/>
    <mergeCell ref="F111:F112"/>
    <mergeCell ref="AH115:AJ115"/>
    <mergeCell ref="AN114:AO114"/>
    <mergeCell ref="AE12:AF12"/>
    <mergeCell ref="G111:H111"/>
    <mergeCell ref="I111:I112"/>
    <mergeCell ref="J18:J19"/>
    <mergeCell ref="I23:I24"/>
    <mergeCell ref="I54:I57"/>
    <mergeCell ref="O78:O79"/>
    <mergeCell ref="K76:K77"/>
    <mergeCell ref="L23:L24"/>
    <mergeCell ref="V54:V57"/>
    <mergeCell ref="J23:J24"/>
    <mergeCell ref="V23:V24"/>
    <mergeCell ref="K54:K57"/>
    <mergeCell ref="R54:R57"/>
    <mergeCell ref="T83:T85"/>
    <mergeCell ref="U83:U85"/>
    <mergeCell ref="B102:B105"/>
    <mergeCell ref="AL11:AM11"/>
    <mergeCell ref="AJ11:AK11"/>
    <mergeCell ref="AH11:AI11"/>
    <mergeCell ref="Y9:Y11"/>
    <mergeCell ref="T23:T24"/>
    <mergeCell ref="AH9:BE10"/>
    <mergeCell ref="N23:N24"/>
    <mergeCell ref="U54:U57"/>
    <mergeCell ref="O76:O77"/>
    <mergeCell ref="R83:R85"/>
    <mergeCell ref="U71:U74"/>
    <mergeCell ref="S54:S57"/>
    <mergeCell ref="T71:T74"/>
    <mergeCell ref="L83:L85"/>
    <mergeCell ref="U23:U24"/>
    <mergeCell ref="T78:T79"/>
    <mergeCell ref="R78:R79"/>
    <mergeCell ref="L54:L57"/>
    <mergeCell ref="J54:J57"/>
    <mergeCell ref="T54:T57"/>
    <mergeCell ref="V76:V77"/>
    <mergeCell ref="C18:C19"/>
    <mergeCell ref="D18:D19"/>
  </mergeCells>
  <conditionalFormatting sqref="A135:B138 B147:B149">
    <cfRule type="cellIs" dxfId="92" priority="316" operator="equal">
      <formula>#REF!</formula>
    </cfRule>
    <cfRule type="cellIs" dxfId="91" priority="317" operator="equal">
      <formula>#REF!</formula>
    </cfRule>
    <cfRule type="cellIs" dxfId="90" priority="318" operator="equal">
      <formula>"""Pasajes al Interior"""</formula>
    </cfRule>
  </conditionalFormatting>
  <conditionalFormatting sqref="W55:X55 W57:X57 X56 X83 X85:X86">
    <cfRule type="cellIs" dxfId="89" priority="307" operator="equal">
      <formula>#REF!</formula>
    </cfRule>
    <cfRule type="cellIs" dxfId="88" priority="308" operator="equal">
      <formula>#REF!</formula>
    </cfRule>
    <cfRule type="cellIs" dxfId="87" priority="309" operator="equal">
      <formula>"""Pasajes al Interior"""</formula>
    </cfRule>
  </conditionalFormatting>
  <conditionalFormatting sqref="W86:X86">
    <cfRule type="cellIs" dxfId="86" priority="298" operator="equal">
      <formula>#REF!</formula>
    </cfRule>
    <cfRule type="cellIs" dxfId="85" priority="299" operator="equal">
      <formula>#REF!</formula>
    </cfRule>
    <cfRule type="cellIs" dxfId="84" priority="300" operator="equal">
      <formula>"""Pasajes al Interior"""</formula>
    </cfRule>
  </conditionalFormatting>
  <conditionalFormatting sqref="B142:B145">
    <cfRule type="cellIs" dxfId="83" priority="115" operator="equal">
      <formula>#REF!</formula>
    </cfRule>
    <cfRule type="cellIs" dxfId="82" priority="116" operator="equal">
      <formula>#REF!</formula>
    </cfRule>
    <cfRule type="cellIs" dxfId="81" priority="117" operator="equal">
      <formula>"""Pasajes al Interior"""</formula>
    </cfRule>
  </conditionalFormatting>
  <conditionalFormatting sqref="B132">
    <cfRule type="cellIs" dxfId="80" priority="130" operator="equal">
      <formula>#REF!</formula>
    </cfRule>
    <cfRule type="cellIs" dxfId="79" priority="131" operator="equal">
      <formula>#REF!</formula>
    </cfRule>
    <cfRule type="cellIs" dxfId="78" priority="132" operator="equal">
      <formula>"""Pasajes al Interior"""</formula>
    </cfRule>
  </conditionalFormatting>
  <conditionalFormatting sqref="A133:B133 B134">
    <cfRule type="cellIs" dxfId="77" priority="127" operator="equal">
      <formula>#REF!</formula>
    </cfRule>
    <cfRule type="cellIs" dxfId="76" priority="128" operator="equal">
      <formula>#REF!</formula>
    </cfRule>
    <cfRule type="cellIs" dxfId="75" priority="129" operator="equal">
      <formula>"""Pasajes al Interior"""</formula>
    </cfRule>
  </conditionalFormatting>
  <conditionalFormatting sqref="A149:B149">
    <cfRule type="cellIs" dxfId="74" priority="118" operator="equal">
      <formula>#REF!</formula>
    </cfRule>
    <cfRule type="cellIs" dxfId="73" priority="119" operator="equal">
      <formula>#REF!</formula>
    </cfRule>
    <cfRule type="cellIs" dxfId="72" priority="120" operator="equal">
      <formula>"""Pasajes al Interior"""</formula>
    </cfRule>
  </conditionalFormatting>
  <conditionalFormatting sqref="B143:B145">
    <cfRule type="cellIs" dxfId="71" priority="109" operator="equal">
      <formula>#REF!</formula>
    </cfRule>
    <cfRule type="cellIs" dxfId="70" priority="110" operator="equal">
      <formula>#REF!</formula>
    </cfRule>
    <cfRule type="cellIs" dxfId="69" priority="111" operator="equal">
      <formula>"""Pasajes al Interior"""</formula>
    </cfRule>
  </conditionalFormatting>
  <conditionalFormatting sqref="B145">
    <cfRule type="cellIs" dxfId="68" priority="97" operator="equal">
      <formula>#REF!</formula>
    </cfRule>
    <cfRule type="cellIs" dxfId="67" priority="98" operator="equal">
      <formula>#REF!</formula>
    </cfRule>
    <cfRule type="cellIs" dxfId="66" priority="99" operator="equal">
      <formula>"""Pasajes al Interior"""</formula>
    </cfRule>
  </conditionalFormatting>
  <conditionalFormatting sqref="B140">
    <cfRule type="cellIs" dxfId="65" priority="139" operator="equal">
      <formula>#REF!</formula>
    </cfRule>
    <cfRule type="cellIs" dxfId="64" priority="140" operator="equal">
      <formula>#REF!</formula>
    </cfRule>
    <cfRule type="cellIs" dxfId="63" priority="141" operator="equal">
      <formula>"""Pasajes al Interior"""</formula>
    </cfRule>
  </conditionalFormatting>
  <conditionalFormatting sqref="B137:B138">
    <cfRule type="cellIs" dxfId="62" priority="103" operator="equal">
      <formula>#REF!</formula>
    </cfRule>
    <cfRule type="cellIs" dxfId="61" priority="104" operator="equal">
      <formula>#REF!</formula>
    </cfRule>
    <cfRule type="cellIs" dxfId="60" priority="105" operator="equal">
      <formula>"""Pasajes al Interior"""</formula>
    </cfRule>
  </conditionalFormatting>
  <conditionalFormatting sqref="B144:B145">
    <cfRule type="cellIs" dxfId="59" priority="100" operator="equal">
      <formula>#REF!</formula>
    </cfRule>
    <cfRule type="cellIs" dxfId="58" priority="101" operator="equal">
      <formula>#REF!</formula>
    </cfRule>
    <cfRule type="cellIs" dxfId="57" priority="102" operator="equal">
      <formula>"""Pasajes al Interior"""</formula>
    </cfRule>
  </conditionalFormatting>
  <conditionalFormatting sqref="X52">
    <cfRule type="cellIs" dxfId="56" priority="55" operator="equal">
      <formula>#REF!</formula>
    </cfRule>
    <cfRule type="cellIs" dxfId="55" priority="56" operator="equal">
      <formula>#REF!</formula>
    </cfRule>
    <cfRule type="cellIs" dxfId="54" priority="57" operator="equal">
      <formula>"""Pasajes al Interior"""</formula>
    </cfRule>
  </conditionalFormatting>
  <conditionalFormatting sqref="W58:X62">
    <cfRule type="cellIs" dxfId="53" priority="52" operator="equal">
      <formula>#REF!</formula>
    </cfRule>
    <cfRule type="cellIs" dxfId="52" priority="53" operator="equal">
      <formula>#REF!</formula>
    </cfRule>
    <cfRule type="cellIs" dxfId="51" priority="54" operator="equal">
      <formula>"""Pasajes al Interior"""</formula>
    </cfRule>
  </conditionalFormatting>
  <conditionalFormatting sqref="X61:X62">
    <cfRule type="cellIs" dxfId="50" priority="43" operator="equal">
      <formula>#REF!</formula>
    </cfRule>
    <cfRule type="cellIs" dxfId="49" priority="44" operator="equal">
      <formula>#REF!</formula>
    </cfRule>
    <cfRule type="cellIs" dxfId="48" priority="45" operator="equal">
      <formula>"""Pasajes al Interior"""</formula>
    </cfRule>
  </conditionalFormatting>
  <conditionalFormatting sqref="X59:X62">
    <cfRule type="cellIs" dxfId="47" priority="49" operator="equal">
      <formula>#REF!</formula>
    </cfRule>
    <cfRule type="cellIs" dxfId="46" priority="50" operator="equal">
      <formula>#REF!</formula>
    </cfRule>
    <cfRule type="cellIs" dxfId="45" priority="51" operator="equal">
      <formula>"""Pasajes al Interior"""</formula>
    </cfRule>
  </conditionalFormatting>
  <conditionalFormatting sqref="X60">
    <cfRule type="cellIs" dxfId="44" priority="46" operator="equal">
      <formula>#REF!</formula>
    </cfRule>
    <cfRule type="cellIs" dxfId="43" priority="47" operator="equal">
      <formula>#REF!</formula>
    </cfRule>
    <cfRule type="cellIs" dxfId="42" priority="48" operator="equal">
      <formula>"""Pasajes al Interior"""</formula>
    </cfRule>
  </conditionalFormatting>
  <conditionalFormatting sqref="W63:X63">
    <cfRule type="cellIs" dxfId="41" priority="40" operator="equal">
      <formula>#REF!</formula>
    </cfRule>
    <cfRule type="cellIs" dxfId="40" priority="41" operator="equal">
      <formula>#REF!</formula>
    </cfRule>
    <cfRule type="cellIs" dxfId="39" priority="42" operator="equal">
      <formula>"""Pasajes al Interior"""</formula>
    </cfRule>
  </conditionalFormatting>
  <conditionalFormatting sqref="X63">
    <cfRule type="cellIs" dxfId="38" priority="34" operator="equal">
      <formula>#REF!</formula>
    </cfRule>
    <cfRule type="cellIs" dxfId="37" priority="35" operator="equal">
      <formula>#REF!</formula>
    </cfRule>
    <cfRule type="cellIs" dxfId="36" priority="36" operator="equal">
      <formula>"""Pasajes al Interior"""</formula>
    </cfRule>
  </conditionalFormatting>
  <conditionalFormatting sqref="X63">
    <cfRule type="cellIs" dxfId="35" priority="37" operator="equal">
      <formula>#REF!</formula>
    </cfRule>
    <cfRule type="cellIs" dxfId="34" priority="38" operator="equal">
      <formula>#REF!</formula>
    </cfRule>
    <cfRule type="cellIs" dxfId="33" priority="39" operator="equal">
      <formula>"""Pasajes al Interior"""</formula>
    </cfRule>
  </conditionalFormatting>
  <conditionalFormatting sqref="X65">
    <cfRule type="cellIs" dxfId="32" priority="31" operator="equal">
      <formula>#REF!</formula>
    </cfRule>
    <cfRule type="cellIs" dxfId="31" priority="32" operator="equal">
      <formula>#REF!</formula>
    </cfRule>
    <cfRule type="cellIs" dxfId="30" priority="33" operator="equal">
      <formula>"""Pasajes al Interior"""</formula>
    </cfRule>
  </conditionalFormatting>
  <conditionalFormatting sqref="X67:X70">
    <cfRule type="cellIs" dxfId="29" priority="28" operator="equal">
      <formula>#REF!</formula>
    </cfRule>
    <cfRule type="cellIs" dxfId="28" priority="29" operator="equal">
      <formula>#REF!</formula>
    </cfRule>
    <cfRule type="cellIs" dxfId="27" priority="30" operator="equal">
      <formula>"""Pasajes al Interior"""</formula>
    </cfRule>
  </conditionalFormatting>
  <conditionalFormatting sqref="X68:X70">
    <cfRule type="cellIs" dxfId="26" priority="25" operator="equal">
      <formula>#REF!</formula>
    </cfRule>
    <cfRule type="cellIs" dxfId="25" priority="26" operator="equal">
      <formula>#REF!</formula>
    </cfRule>
    <cfRule type="cellIs" dxfId="24" priority="27" operator="equal">
      <formula>"""Pasajes al Interior"""</formula>
    </cfRule>
  </conditionalFormatting>
  <conditionalFormatting sqref="X69:X70">
    <cfRule type="cellIs" dxfId="23" priority="22" operator="equal">
      <formula>#REF!</formula>
    </cfRule>
    <cfRule type="cellIs" dxfId="22" priority="23" operator="equal">
      <formula>#REF!</formula>
    </cfRule>
    <cfRule type="cellIs" dxfId="21" priority="24" operator="equal">
      <formula>"""Pasajes al Interior"""</formula>
    </cfRule>
  </conditionalFormatting>
  <conditionalFormatting sqref="X70">
    <cfRule type="cellIs" dxfId="20" priority="19" operator="equal">
      <formula>#REF!</formula>
    </cfRule>
    <cfRule type="cellIs" dxfId="19" priority="20" operator="equal">
      <formula>#REF!</formula>
    </cfRule>
    <cfRule type="cellIs" dxfId="18" priority="21" operator="equal">
      <formula>"""Pasajes al Interior"""</formula>
    </cfRule>
  </conditionalFormatting>
  <conditionalFormatting sqref="X80"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"""Pasajes al Interior"""</formula>
    </cfRule>
  </conditionalFormatting>
  <conditionalFormatting sqref="X81">
    <cfRule type="cellIs" dxfId="14" priority="13" operator="equal">
      <formula>#REF!</formula>
    </cfRule>
    <cfRule type="cellIs" dxfId="13" priority="14" operator="equal">
      <formula>#REF!</formula>
    </cfRule>
    <cfRule type="cellIs" dxfId="12" priority="15" operator="equal">
      <formula>"""Pasajes al Interior"""</formula>
    </cfRule>
  </conditionalFormatting>
  <conditionalFormatting sqref="X82">
    <cfRule type="cellIs" dxfId="11" priority="10" operator="equal">
      <formula>#REF!</formula>
    </cfRule>
    <cfRule type="cellIs" dxfId="10" priority="11" operator="equal">
      <formula>#REF!</formula>
    </cfRule>
    <cfRule type="cellIs" dxfId="9" priority="12" operator="equal">
      <formula>"""Pasajes al Interior"""</formula>
    </cfRule>
  </conditionalFormatting>
  <conditionalFormatting sqref="X100:X101"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"""Pasajes al Interior"""</formula>
    </cfRule>
  </conditionalFormatting>
  <conditionalFormatting sqref="B170">
    <cfRule type="cellIs" dxfId="5" priority="4" operator="equal">
      <formula>#REF!</formula>
    </cfRule>
    <cfRule type="cellIs" dxfId="4" priority="5" operator="equal">
      <formula>#REF!</formula>
    </cfRule>
    <cfRule type="cellIs" dxfId="3" priority="6" operator="equal">
      <formula>"""Pasajes al Interior"""</formula>
    </cfRule>
  </conditionalFormatting>
  <conditionalFormatting sqref="X102:X105">
    <cfRule type="cellIs" dxfId="2" priority="1" operator="equal">
      <formula>#REF!</formula>
    </cfRule>
    <cfRule type="cellIs" dxfId="1" priority="2" operator="equal">
      <formula>#REF!</formula>
    </cfRule>
    <cfRule type="cellIs" dxfId="0" priority="3" operator="equal">
      <formula>"""Pasajes al Interior"""</formula>
    </cfRule>
  </conditionalFormatting>
  <dataValidations count="2">
    <dataValidation type="list" errorStyle="warning" allowBlank="1" showInputMessage="1" showErrorMessage="1" errorTitle="Ambito Geográfico" error="Seleccione el ambito geográfico relacionado con la actividad" sqref="T14:T17 T58:T70 T80:T86 T20:T23 T25:T54" xr:uid="{00000000-0002-0000-0000-000000000000}">
      <formula1>"Nacional,Regional,Provincial,Cantonal,Parroquial,Local"</formula1>
    </dataValidation>
    <dataValidation type="list" errorStyle="warning" allowBlank="1" showInputMessage="1" showErrorMessage="1" errorTitle="Ambito Geográfico" error="Seleccione el ambito geográfico relacionado con la actividad" sqref="T62:T63 V75 T71 T75 T99:T105" xr:uid="{00000000-0002-0000-0000-000001000000}">
      <formula1>"Provincial,Cantonal,Parroquial,Local"</formula1>
    </dataValidation>
  </dataValidations>
  <hyperlinks>
    <hyperlink ref="X75" r:id="rId1" display="Tasas Generales, Impuestos, Contribuciones, Permisos, Licencias y Patentes. (peajes).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A8" sqref="A8"/>
    </sheetView>
  </sheetViews>
  <sheetFormatPr baseColWidth="10" defaultRowHeight="15"/>
  <cols>
    <col min="1" max="1" width="18.28515625" customWidth="1"/>
    <col min="2" max="2" width="15.140625" customWidth="1"/>
    <col min="3" max="3" width="21.28515625" customWidth="1"/>
    <col min="4" max="4" width="18.140625" customWidth="1"/>
    <col min="6" max="6" width="22.42578125" customWidth="1"/>
    <col min="7" max="7" width="25.85546875" customWidth="1"/>
    <col min="8" max="8" width="13.7109375" customWidth="1"/>
  </cols>
  <sheetData>
    <row r="1" spans="1:9">
      <c r="C1" t="s">
        <v>366</v>
      </c>
    </row>
    <row r="2" spans="1:9" ht="15.75" thickBot="1"/>
    <row r="3" spans="1:9">
      <c r="A3" s="378" t="s">
        <v>262</v>
      </c>
      <c r="B3" s="735" t="s">
        <v>263</v>
      </c>
      <c r="C3" s="735" t="s">
        <v>264</v>
      </c>
      <c r="D3" s="735" t="s">
        <v>265</v>
      </c>
      <c r="E3" s="735" t="s">
        <v>266</v>
      </c>
      <c r="F3" s="735" t="s">
        <v>267</v>
      </c>
      <c r="G3" s="735" t="s">
        <v>268</v>
      </c>
      <c r="H3" s="735" t="s">
        <v>269</v>
      </c>
    </row>
    <row r="4" spans="1:9" ht="30" customHeight="1" thickBot="1">
      <c r="A4" s="379" t="s">
        <v>369</v>
      </c>
      <c r="B4" s="736"/>
      <c r="C4" s="736"/>
      <c r="D4" s="736"/>
      <c r="E4" s="736"/>
      <c r="F4" s="736"/>
      <c r="G4" s="736"/>
      <c r="H4" s="736"/>
    </row>
    <row r="5" spans="1:9" ht="15.75" thickBot="1">
      <c r="A5" s="368"/>
      <c r="B5" s="344"/>
      <c r="C5" s="345"/>
      <c r="D5" s="346"/>
      <c r="E5" s="347"/>
      <c r="F5" s="347"/>
      <c r="G5" s="345"/>
      <c r="H5" s="344"/>
    </row>
    <row r="6" spans="1:9">
      <c r="A6" s="350"/>
      <c r="B6" s="350"/>
      <c r="C6" s="350"/>
      <c r="D6" s="350"/>
      <c r="E6" s="352"/>
      <c r="F6" s="353"/>
      <c r="G6" s="353"/>
      <c r="H6" s="354"/>
    </row>
    <row r="7" spans="1:9">
      <c r="A7" s="350"/>
      <c r="B7" s="350"/>
      <c r="C7" s="350"/>
      <c r="D7" s="350"/>
      <c r="E7" s="352"/>
      <c r="F7" s="353"/>
      <c r="G7" s="353"/>
      <c r="H7" s="354"/>
    </row>
    <row r="9" spans="1:9">
      <c r="A9" s="380"/>
      <c r="B9" s="381"/>
      <c r="C9" s="382"/>
      <c r="D9" s="383"/>
      <c r="E9" s="384"/>
      <c r="F9" s="384"/>
      <c r="G9" s="382"/>
      <c r="H9" s="381"/>
      <c r="I9" s="731"/>
    </row>
    <row r="10" spans="1:9">
      <c r="A10" s="380"/>
      <c r="B10" s="381"/>
      <c r="C10" s="382"/>
      <c r="D10" s="383"/>
      <c r="E10" s="384"/>
      <c r="F10" s="384"/>
      <c r="G10" s="382"/>
      <c r="H10" s="381"/>
      <c r="I10" s="731"/>
    </row>
    <row r="11" spans="1:9">
      <c r="B11" s="370"/>
      <c r="C11" s="371"/>
      <c r="D11" s="372"/>
      <c r="E11" s="373"/>
      <c r="F11" s="374"/>
      <c r="G11" s="374"/>
      <c r="H11" s="372"/>
      <c r="I11" s="371"/>
    </row>
    <row r="12" spans="1:9">
      <c r="B12" s="370"/>
      <c r="C12" s="371"/>
      <c r="D12" s="372"/>
      <c r="E12" s="373"/>
      <c r="F12" s="374"/>
      <c r="G12" s="374"/>
      <c r="H12" s="372"/>
      <c r="I12" s="371"/>
    </row>
    <row r="13" spans="1:9">
      <c r="B13" s="370"/>
      <c r="C13" s="371"/>
      <c r="D13" s="372"/>
      <c r="E13" s="373"/>
      <c r="F13" s="374"/>
      <c r="G13" s="374"/>
      <c r="H13" s="372"/>
      <c r="I13" s="371"/>
    </row>
    <row r="14" spans="1:9">
      <c r="B14" s="370"/>
      <c r="C14" s="371"/>
      <c r="D14" s="372"/>
      <c r="E14" s="373"/>
      <c r="F14" s="374"/>
      <c r="G14" s="374"/>
      <c r="H14" s="372"/>
      <c r="I14" s="371"/>
    </row>
    <row r="15" spans="1:9">
      <c r="B15" s="737"/>
      <c r="C15" s="738"/>
      <c r="D15" s="739"/>
      <c r="E15" s="740"/>
      <c r="F15" s="741"/>
      <c r="G15" s="741"/>
      <c r="H15" s="742"/>
      <c r="I15" s="738"/>
    </row>
    <row r="16" spans="1:9">
      <c r="B16" s="737"/>
      <c r="C16" s="738"/>
      <c r="D16" s="739"/>
      <c r="E16" s="740"/>
      <c r="F16" s="741"/>
      <c r="G16" s="741"/>
      <c r="H16" s="742"/>
      <c r="I16" s="738"/>
    </row>
    <row r="17" spans="1:9">
      <c r="B17" s="737"/>
      <c r="C17" s="738"/>
      <c r="D17" s="739"/>
      <c r="E17" s="740"/>
      <c r="F17" s="741"/>
      <c r="G17" s="741"/>
      <c r="H17" s="739"/>
      <c r="I17" s="738"/>
    </row>
    <row r="18" spans="1:9">
      <c r="B18" s="737"/>
      <c r="C18" s="738"/>
      <c r="D18" s="739"/>
      <c r="E18" s="740"/>
      <c r="F18" s="741"/>
      <c r="G18" s="741"/>
      <c r="H18" s="739"/>
      <c r="I18" s="738"/>
    </row>
    <row r="19" spans="1:9">
      <c r="B19" s="732"/>
      <c r="C19" s="732"/>
      <c r="D19" s="732"/>
      <c r="E19" s="732"/>
      <c r="F19" s="733"/>
      <c r="G19" s="353"/>
      <c r="H19" s="734"/>
      <c r="I19" s="743"/>
    </row>
    <row r="20" spans="1:9">
      <c r="B20" s="732"/>
      <c r="C20" s="732"/>
      <c r="D20" s="732"/>
      <c r="E20" s="732"/>
      <c r="F20" s="733"/>
      <c r="G20" s="353"/>
      <c r="H20" s="734"/>
      <c r="I20" s="743"/>
    </row>
    <row r="21" spans="1:9">
      <c r="B21" s="732"/>
      <c r="C21" s="732"/>
      <c r="D21" s="732"/>
      <c r="E21" s="732"/>
      <c r="F21" s="733"/>
      <c r="G21" s="375"/>
      <c r="H21" s="734"/>
      <c r="I21" s="743"/>
    </row>
    <row r="22" spans="1:9">
      <c r="B22" s="312"/>
      <c r="C22" s="312"/>
      <c r="D22" s="312"/>
      <c r="E22" s="312"/>
      <c r="F22" s="312"/>
      <c r="G22" s="312"/>
      <c r="H22" s="312"/>
      <c r="I22" s="312"/>
    </row>
    <row r="23" spans="1:9">
      <c r="B23" s="312"/>
      <c r="C23" s="312"/>
      <c r="D23" s="312"/>
      <c r="E23" s="312"/>
      <c r="F23" s="312"/>
      <c r="G23" s="312"/>
      <c r="H23" s="312"/>
      <c r="I23" s="312"/>
    </row>
    <row r="24" spans="1:9">
      <c r="B24" s="312"/>
      <c r="C24" s="312"/>
      <c r="D24" s="312"/>
      <c r="E24" s="312"/>
      <c r="F24" s="312"/>
      <c r="G24" s="312"/>
      <c r="H24" s="312"/>
      <c r="I24" s="312"/>
    </row>
    <row r="25" spans="1:9">
      <c r="A25" s="369"/>
      <c r="B25" s="731"/>
      <c r="C25" s="731"/>
      <c r="D25" s="731"/>
      <c r="E25" s="731"/>
      <c r="F25" s="731"/>
      <c r="G25" s="731"/>
      <c r="H25" s="731"/>
      <c r="I25" s="312"/>
    </row>
    <row r="26" spans="1:9">
      <c r="A26" s="369"/>
      <c r="B26" s="731"/>
      <c r="C26" s="731"/>
      <c r="D26" s="731"/>
      <c r="E26" s="731"/>
      <c r="F26" s="731"/>
      <c r="G26" s="731"/>
      <c r="H26" s="731"/>
      <c r="I26" s="312"/>
    </row>
    <row r="27" spans="1:9">
      <c r="A27" s="370"/>
      <c r="B27" s="371"/>
      <c r="C27" s="372"/>
      <c r="D27" s="373"/>
      <c r="E27" s="374"/>
      <c r="F27" s="374"/>
      <c r="G27" s="372"/>
      <c r="H27" s="371"/>
    </row>
    <row r="28" spans="1:9" ht="92.25" customHeight="1">
      <c r="A28" s="376"/>
      <c r="B28" s="376"/>
      <c r="C28" s="376"/>
      <c r="D28" s="377"/>
      <c r="E28" s="376"/>
      <c r="F28" s="376"/>
      <c r="G28" s="376"/>
      <c r="H28" s="376"/>
    </row>
  </sheetData>
  <mergeCells count="35">
    <mergeCell ref="I19:I21"/>
    <mergeCell ref="B17:B18"/>
    <mergeCell ref="C17:C18"/>
    <mergeCell ref="D17:D18"/>
    <mergeCell ref="E17:E18"/>
    <mergeCell ref="F17:F18"/>
    <mergeCell ref="G17:G18"/>
    <mergeCell ref="H17:H18"/>
    <mergeCell ref="I17:I18"/>
    <mergeCell ref="I9:I10"/>
    <mergeCell ref="B15:B16"/>
    <mergeCell ref="C15:C16"/>
    <mergeCell ref="D15:D16"/>
    <mergeCell ref="E15:E16"/>
    <mergeCell ref="F15:F16"/>
    <mergeCell ref="I15:I16"/>
    <mergeCell ref="H15:H16"/>
    <mergeCell ref="G15:G16"/>
    <mergeCell ref="G3:G4"/>
    <mergeCell ref="H3:H4"/>
    <mergeCell ref="B3:B4"/>
    <mergeCell ref="C3:C4"/>
    <mergeCell ref="D3:D4"/>
    <mergeCell ref="E3:E4"/>
    <mergeCell ref="F3:F4"/>
    <mergeCell ref="F25:F26"/>
    <mergeCell ref="G25:G26"/>
    <mergeCell ref="B19:E21"/>
    <mergeCell ref="F19:F21"/>
    <mergeCell ref="H25:H26"/>
    <mergeCell ref="B25:B26"/>
    <mergeCell ref="C25:C26"/>
    <mergeCell ref="D25:D26"/>
    <mergeCell ref="E25:E26"/>
    <mergeCell ref="H19:H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topLeftCell="D22" workbookViewId="0">
      <selection activeCell="E7" sqref="E7"/>
    </sheetView>
  </sheetViews>
  <sheetFormatPr baseColWidth="10" defaultRowHeight="15"/>
  <cols>
    <col min="1" max="1" width="14.42578125" customWidth="1"/>
    <col min="3" max="3" width="27.42578125" customWidth="1"/>
    <col min="4" max="4" width="14.7109375" customWidth="1"/>
    <col min="5" max="5" width="38" customWidth="1"/>
    <col min="6" max="6" width="14.28515625" bestFit="1" customWidth="1"/>
    <col min="10" max="10" width="32" customWidth="1"/>
    <col min="11" max="11" width="16.7109375" customWidth="1"/>
    <col min="12" max="12" width="30.7109375" customWidth="1"/>
    <col min="13" max="13" width="20.7109375" customWidth="1"/>
  </cols>
  <sheetData>
    <row r="1" spans="1:14">
      <c r="A1" s="314"/>
      <c r="B1" s="301"/>
      <c r="C1" s="313"/>
      <c r="D1" s="301"/>
    </row>
    <row r="2" spans="1:14">
      <c r="A2" s="405" t="s">
        <v>370</v>
      </c>
      <c r="B2" s="404"/>
      <c r="C2" s="404"/>
      <c r="D2" s="404"/>
      <c r="E2" s="404"/>
      <c r="F2" s="404"/>
      <c r="G2" s="392"/>
      <c r="H2" s="392" t="s">
        <v>255</v>
      </c>
      <c r="I2" s="392"/>
      <c r="J2" s="392"/>
      <c r="K2" s="392"/>
      <c r="L2" s="392"/>
      <c r="M2" s="392"/>
    </row>
    <row r="3" spans="1:14">
      <c r="A3" s="404"/>
      <c r="B3" s="404"/>
      <c r="C3" s="404"/>
      <c r="D3" s="404"/>
      <c r="E3" s="404"/>
      <c r="F3" s="404"/>
      <c r="G3" s="392"/>
      <c r="H3" s="392"/>
      <c r="I3" s="392"/>
      <c r="J3" s="392"/>
      <c r="K3" s="392"/>
      <c r="L3" s="392"/>
      <c r="M3" s="392"/>
    </row>
    <row r="4" spans="1:14">
      <c r="A4" s="402" t="s">
        <v>254</v>
      </c>
      <c r="B4" s="402" t="s">
        <v>253</v>
      </c>
      <c r="C4" s="403" t="s">
        <v>248</v>
      </c>
      <c r="D4" s="402" t="s">
        <v>247</v>
      </c>
      <c r="E4" s="402" t="s">
        <v>252</v>
      </c>
      <c r="F4" s="402" t="s">
        <v>251</v>
      </c>
      <c r="G4" s="401"/>
      <c r="H4" s="400" t="s">
        <v>250</v>
      </c>
      <c r="I4" s="400" t="s">
        <v>249</v>
      </c>
      <c r="J4" s="400" t="s">
        <v>248</v>
      </c>
      <c r="K4" s="400" t="s">
        <v>247</v>
      </c>
      <c r="L4" s="400" t="s">
        <v>246</v>
      </c>
      <c r="M4" s="400" t="s">
        <v>245</v>
      </c>
    </row>
    <row r="5" spans="1:14" ht="78.75" customHeight="1">
      <c r="A5" s="398"/>
      <c r="B5" s="395"/>
      <c r="C5" s="357"/>
      <c r="D5" s="385"/>
      <c r="E5" s="357"/>
      <c r="F5" s="406"/>
      <c r="G5" s="394"/>
      <c r="H5" s="398">
        <v>44126</v>
      </c>
      <c r="I5" s="306">
        <v>267</v>
      </c>
      <c r="J5" s="596" t="s">
        <v>322</v>
      </c>
      <c r="K5" s="409">
        <v>24.91</v>
      </c>
      <c r="L5" s="305" t="s">
        <v>400</v>
      </c>
      <c r="M5" s="399" t="s">
        <v>399</v>
      </c>
    </row>
    <row r="6" spans="1:14" ht="121.5" customHeight="1">
      <c r="A6" s="398"/>
      <c r="B6" s="356"/>
      <c r="C6" s="362"/>
      <c r="D6" s="386"/>
      <c r="E6" s="358"/>
      <c r="F6" s="406"/>
      <c r="G6" s="394"/>
      <c r="H6" s="398">
        <v>44131</v>
      </c>
      <c r="I6" s="306">
        <v>267</v>
      </c>
      <c r="J6" s="601" t="s">
        <v>280</v>
      </c>
      <c r="K6" s="409">
        <v>16.27</v>
      </c>
      <c r="L6" s="305" t="s">
        <v>401</v>
      </c>
      <c r="M6" s="399" t="s">
        <v>399</v>
      </c>
    </row>
    <row r="7" spans="1:14" ht="80.25" customHeight="1">
      <c r="A7" s="591">
        <v>44139</v>
      </c>
      <c r="B7" s="592">
        <v>267</v>
      </c>
      <c r="C7" s="593" t="s">
        <v>374</v>
      </c>
      <c r="D7" s="594">
        <v>216.28</v>
      </c>
      <c r="E7" s="595" t="s">
        <v>373</v>
      </c>
      <c r="F7" s="406"/>
      <c r="G7" s="394"/>
      <c r="H7" s="398">
        <v>44134</v>
      </c>
      <c r="I7" s="306">
        <v>267</v>
      </c>
      <c r="J7" s="436" t="s">
        <v>313</v>
      </c>
      <c r="K7" s="409">
        <v>8</v>
      </c>
      <c r="L7" s="305" t="s">
        <v>403</v>
      </c>
      <c r="M7" s="597" t="s">
        <v>402</v>
      </c>
    </row>
    <row r="8" spans="1:14" ht="101.25" customHeight="1">
      <c r="A8" s="398"/>
      <c r="B8" s="389"/>
      <c r="C8" s="390"/>
      <c r="D8" s="386"/>
      <c r="E8" s="358"/>
      <c r="F8" s="406"/>
      <c r="G8" s="394"/>
      <c r="H8" s="398">
        <v>44133</v>
      </c>
      <c r="I8" s="306">
        <v>267</v>
      </c>
      <c r="J8" s="599" t="s">
        <v>338</v>
      </c>
      <c r="K8" s="409">
        <v>15</v>
      </c>
      <c r="L8" s="305" t="s">
        <v>404</v>
      </c>
      <c r="M8" s="597" t="s">
        <v>402</v>
      </c>
    </row>
    <row r="9" spans="1:14" ht="119.25" customHeight="1">
      <c r="A9" s="398"/>
      <c r="B9" s="356"/>
      <c r="C9" s="356"/>
      <c r="D9" s="361"/>
      <c r="E9" s="358"/>
      <c r="F9" s="406"/>
      <c r="G9" s="394"/>
      <c r="H9" s="398">
        <v>44130</v>
      </c>
      <c r="I9" s="306">
        <v>267</v>
      </c>
      <c r="J9" s="599" t="s">
        <v>338</v>
      </c>
      <c r="K9" s="409">
        <v>24</v>
      </c>
      <c r="L9" s="305" t="s">
        <v>405</v>
      </c>
      <c r="M9" s="597" t="s">
        <v>402</v>
      </c>
    </row>
    <row r="10" spans="1:14" ht="89.25" customHeight="1">
      <c r="A10" s="398"/>
      <c r="B10" s="747"/>
      <c r="C10" s="395"/>
      <c r="D10" s="487"/>
      <c r="E10" s="745"/>
      <c r="F10" s="406"/>
      <c r="G10" s="394"/>
      <c r="H10" s="398">
        <v>44123</v>
      </c>
      <c r="I10" s="306">
        <v>267</v>
      </c>
      <c r="J10" s="598" t="s">
        <v>368</v>
      </c>
      <c r="K10" s="409">
        <v>20</v>
      </c>
      <c r="L10" s="305" t="s">
        <v>406</v>
      </c>
      <c r="M10" s="597" t="s">
        <v>402</v>
      </c>
    </row>
    <row r="11" spans="1:14" ht="90" customHeight="1">
      <c r="A11" s="398"/>
      <c r="B11" s="748"/>
      <c r="C11" s="486"/>
      <c r="D11" s="413"/>
      <c r="E11" s="746"/>
      <c r="F11" s="406"/>
      <c r="G11" s="394"/>
      <c r="H11" s="398">
        <v>44121</v>
      </c>
      <c r="I11" s="306">
        <v>267</v>
      </c>
      <c r="J11" s="262" t="s">
        <v>305</v>
      </c>
      <c r="K11" s="409">
        <v>14</v>
      </c>
      <c r="L11" s="305" t="s">
        <v>407</v>
      </c>
      <c r="M11" s="597" t="s">
        <v>402</v>
      </c>
    </row>
    <row r="12" spans="1:14" ht="99.75" customHeight="1">
      <c r="A12" s="398"/>
      <c r="B12" s="751"/>
      <c r="C12" s="486"/>
      <c r="D12" s="361"/>
      <c r="E12" s="749"/>
      <c r="F12" s="305"/>
      <c r="G12" s="311"/>
      <c r="H12" s="398">
        <v>44120</v>
      </c>
      <c r="I12" s="306">
        <v>267</v>
      </c>
      <c r="J12" s="436" t="s">
        <v>313</v>
      </c>
      <c r="K12" s="409">
        <v>12</v>
      </c>
      <c r="L12" s="305" t="s">
        <v>408</v>
      </c>
      <c r="M12" s="597" t="s">
        <v>402</v>
      </c>
      <c r="N12" s="300"/>
    </row>
    <row r="13" spans="1:14" ht="88.5" customHeight="1">
      <c r="A13" s="398"/>
      <c r="B13" s="752"/>
      <c r="C13" s="395"/>
      <c r="D13" s="488"/>
      <c r="E13" s="750"/>
      <c r="F13" s="305"/>
      <c r="G13" s="744"/>
      <c r="H13" s="398">
        <v>44118</v>
      </c>
      <c r="I13" s="306">
        <v>267</v>
      </c>
      <c r="J13" s="602" t="s">
        <v>288</v>
      </c>
      <c r="K13" s="407">
        <v>11</v>
      </c>
      <c r="L13" s="305" t="s">
        <v>409</v>
      </c>
      <c r="M13" s="597" t="s">
        <v>402</v>
      </c>
      <c r="N13" s="302"/>
    </row>
    <row r="14" spans="1:14" ht="90" customHeight="1">
      <c r="A14" s="398"/>
      <c r="B14" s="489"/>
      <c r="C14" s="490"/>
      <c r="D14" s="414"/>
      <c r="E14" s="397"/>
      <c r="F14" s="305"/>
      <c r="G14" s="744"/>
      <c r="H14" s="398">
        <v>44126</v>
      </c>
      <c r="I14" s="306">
        <v>267</v>
      </c>
      <c r="J14" s="598" t="s">
        <v>276</v>
      </c>
      <c r="K14" s="407">
        <v>12</v>
      </c>
      <c r="L14" s="305" t="s">
        <v>410</v>
      </c>
      <c r="M14" s="597" t="s">
        <v>402</v>
      </c>
      <c r="N14" s="300"/>
    </row>
    <row r="15" spans="1:14" ht="107.25" customHeight="1">
      <c r="A15" s="398"/>
      <c r="B15" s="360"/>
      <c r="C15" s="359"/>
      <c r="D15" s="387"/>
      <c r="E15" s="359"/>
      <c r="F15" s="305"/>
      <c r="G15" s="309"/>
      <c r="H15" s="398"/>
      <c r="I15" s="306"/>
      <c r="J15" s="598"/>
      <c r="K15" s="481">
        <f>SUM(K5:K14)</f>
        <v>157.18</v>
      </c>
      <c r="L15" s="411">
        <f>K15-216.48</f>
        <v>-59.299999999999983</v>
      </c>
      <c r="M15" s="597"/>
      <c r="N15" s="300"/>
    </row>
    <row r="16" spans="1:14" ht="99.75" customHeight="1">
      <c r="A16" s="398"/>
      <c r="B16" s="363"/>
      <c r="C16" s="362"/>
      <c r="D16" s="388"/>
      <c r="E16" s="364"/>
      <c r="F16" s="308"/>
      <c r="G16" s="310"/>
      <c r="H16" s="398"/>
      <c r="I16" s="306"/>
      <c r="J16" s="482"/>
      <c r="K16" s="481"/>
      <c r="L16" s="408"/>
      <c r="M16" s="303"/>
      <c r="N16" s="300"/>
    </row>
    <row r="17" spans="1:14" ht="90" customHeight="1">
      <c r="A17" s="398"/>
      <c r="B17" s="365"/>
      <c r="C17" s="362"/>
      <c r="D17" s="388"/>
      <c r="E17" s="366"/>
      <c r="F17" s="308"/>
      <c r="G17" s="310"/>
      <c r="H17" s="398"/>
      <c r="I17" s="306"/>
      <c r="J17" s="496"/>
      <c r="K17" s="481"/>
      <c r="L17" s="305"/>
      <c r="M17" s="307"/>
      <c r="N17" s="300"/>
    </row>
    <row r="18" spans="1:14" ht="93.75" customHeight="1">
      <c r="A18" s="398"/>
      <c r="B18" s="365"/>
      <c r="C18" s="360"/>
      <c r="D18" s="361"/>
      <c r="E18" s="366"/>
      <c r="F18" s="306"/>
      <c r="G18" s="309"/>
      <c r="H18" s="398"/>
      <c r="I18" s="306"/>
      <c r="J18" s="497"/>
      <c r="K18" s="481"/>
      <c r="L18" s="305"/>
      <c r="M18" s="303"/>
      <c r="N18" s="300"/>
    </row>
    <row r="19" spans="1:14" ht="93.75" customHeight="1">
      <c r="A19" s="398"/>
      <c r="B19" s="365"/>
      <c r="C19" s="360"/>
      <c r="D19" s="361"/>
      <c r="E19" s="366"/>
      <c r="F19" s="306"/>
      <c r="G19" s="309"/>
      <c r="H19" s="398"/>
      <c r="I19" s="306"/>
      <c r="J19" s="482"/>
      <c r="K19" s="483"/>
      <c r="L19" s="408"/>
      <c r="M19" s="303"/>
      <c r="N19" s="300"/>
    </row>
    <row r="20" spans="1:14" ht="93.75" customHeight="1">
      <c r="A20" s="398"/>
      <c r="B20" s="365"/>
      <c r="C20" s="360"/>
      <c r="D20" s="361"/>
      <c r="E20" s="366"/>
      <c r="F20" s="306"/>
      <c r="G20" s="309"/>
      <c r="H20" s="398"/>
      <c r="I20" s="306"/>
      <c r="J20" s="482"/>
      <c r="K20" s="483"/>
      <c r="L20" s="305"/>
      <c r="M20" s="399"/>
      <c r="N20" s="300"/>
    </row>
    <row r="21" spans="1:14" ht="108" customHeight="1">
      <c r="A21" s="398"/>
      <c r="B21" s="492"/>
      <c r="C21" s="493"/>
      <c r="D21" s="386"/>
      <c r="E21" s="494"/>
      <c r="F21" s="495"/>
      <c r="G21" s="309"/>
      <c r="H21" s="355"/>
      <c r="I21" s="495"/>
      <c r="J21" s="603"/>
      <c r="K21" s="484"/>
      <c r="L21" s="305"/>
      <c r="M21" s="303"/>
      <c r="N21" s="300"/>
    </row>
    <row r="22" spans="1:14">
      <c r="A22" s="398"/>
      <c r="B22" s="365"/>
      <c r="C22" s="360"/>
      <c r="D22" s="361"/>
      <c r="E22" s="366"/>
      <c r="F22" s="395"/>
      <c r="G22" s="395"/>
      <c r="H22" s="367"/>
      <c r="I22" s="367"/>
      <c r="J22" s="300"/>
      <c r="K22" s="300"/>
      <c r="L22" s="392"/>
      <c r="M22" s="392"/>
    </row>
    <row r="23" spans="1:14">
      <c r="A23" s="398"/>
      <c r="B23" s="365"/>
      <c r="C23" s="360"/>
      <c r="D23" s="367"/>
      <c r="E23" s="391"/>
      <c r="F23" s="395"/>
      <c r="G23" s="395"/>
      <c r="H23" s="367"/>
      <c r="I23" s="367"/>
      <c r="J23" s="491"/>
      <c r="K23" s="485"/>
      <c r="L23" s="411"/>
      <c r="M23" s="392"/>
    </row>
    <row r="24" spans="1:14">
      <c r="A24" s="398"/>
      <c r="B24" s="365"/>
      <c r="C24" s="360"/>
      <c r="D24" s="361"/>
      <c r="E24" s="391"/>
      <c r="F24" s="392"/>
      <c r="G24" s="392"/>
      <c r="H24" s="300"/>
      <c r="I24" s="300"/>
      <c r="J24" s="367"/>
      <c r="K24" s="485"/>
      <c r="L24" s="392"/>
      <c r="M24" s="392"/>
    </row>
    <row r="25" spans="1:14">
      <c r="A25" s="392"/>
      <c r="B25" s="392"/>
      <c r="C25" s="392"/>
      <c r="D25" s="392"/>
      <c r="E25" s="392"/>
      <c r="F25" s="392"/>
      <c r="G25" s="392"/>
      <c r="H25" s="300"/>
      <c r="I25" s="300"/>
      <c r="J25" s="600"/>
      <c r="K25" s="485">
        <f>K7+K12</f>
        <v>20</v>
      </c>
      <c r="L25" s="325">
        <f>K25+D13+D10</f>
        <v>20</v>
      </c>
      <c r="M25" s="392"/>
    </row>
    <row r="26" spans="1:14">
      <c r="A26" s="392"/>
      <c r="B26" s="392"/>
      <c r="C26" s="392"/>
      <c r="D26" s="392"/>
      <c r="E26" s="392"/>
      <c r="F26" s="392"/>
      <c r="G26" s="392"/>
      <c r="H26" s="392"/>
      <c r="I26" s="392"/>
      <c r="J26" s="487"/>
      <c r="K26" s="409">
        <f>K8+K9</f>
        <v>39</v>
      </c>
      <c r="L26" s="409"/>
      <c r="M26" s="392"/>
    </row>
    <row r="27" spans="1:14">
      <c r="A27" s="392"/>
      <c r="B27" s="392"/>
      <c r="C27" s="392"/>
      <c r="D27" s="392"/>
      <c r="E27" s="392"/>
      <c r="F27" s="392"/>
      <c r="G27" s="392"/>
      <c r="H27" s="392"/>
      <c r="I27" s="392"/>
      <c r="J27" s="356"/>
      <c r="K27" s="409">
        <v>84.21</v>
      </c>
      <c r="L27" s="409"/>
      <c r="M27" s="411"/>
    </row>
    <row r="28" spans="1:14">
      <c r="A28" s="392"/>
      <c r="B28" s="392"/>
      <c r="C28" s="392"/>
      <c r="D28" s="392"/>
      <c r="E28" s="392"/>
      <c r="F28" s="392"/>
      <c r="G28" s="392"/>
      <c r="H28" s="392"/>
      <c r="I28" s="392"/>
      <c r="J28" s="367"/>
      <c r="K28" s="409">
        <v>16.27</v>
      </c>
      <c r="L28" s="480"/>
      <c r="M28" s="392"/>
    </row>
    <row r="29" spans="1:14">
      <c r="A29" s="392"/>
      <c r="B29" s="392"/>
      <c r="C29" s="392"/>
      <c r="D29" s="392"/>
      <c r="E29" s="392"/>
      <c r="F29" s="392"/>
      <c r="G29" s="392"/>
      <c r="H29" s="392"/>
      <c r="I29" s="392"/>
      <c r="J29" s="395"/>
      <c r="K29" s="409">
        <v>20</v>
      </c>
      <c r="L29" s="480"/>
      <c r="M29" s="392"/>
    </row>
    <row r="30" spans="1:14">
      <c r="A30" s="392"/>
      <c r="B30" s="392"/>
      <c r="C30" s="392"/>
      <c r="D30" s="392"/>
      <c r="E30" s="392"/>
      <c r="F30" s="392"/>
      <c r="G30" s="392"/>
      <c r="H30" s="392"/>
      <c r="I30" s="392"/>
      <c r="J30" s="395"/>
      <c r="K30" s="409">
        <v>14</v>
      </c>
      <c r="L30" s="392"/>
      <c r="M30" s="392"/>
    </row>
    <row r="31" spans="1:14">
      <c r="A31" s="392"/>
      <c r="B31" s="392"/>
      <c r="C31" s="392"/>
      <c r="D31" s="392"/>
      <c r="E31" s="392"/>
      <c r="F31" s="392"/>
      <c r="G31" s="392"/>
      <c r="H31" s="392"/>
      <c r="I31" s="392"/>
      <c r="J31" s="395"/>
      <c r="K31" s="407">
        <v>11</v>
      </c>
      <c r="L31" s="392"/>
      <c r="M31" s="392"/>
    </row>
    <row r="32" spans="1:14">
      <c r="A32" s="392"/>
      <c r="B32" s="392"/>
      <c r="C32" s="392"/>
      <c r="D32" s="392"/>
      <c r="E32" s="392"/>
      <c r="F32" s="392"/>
      <c r="G32" s="392"/>
      <c r="H32" s="392"/>
      <c r="I32" s="392"/>
      <c r="J32" s="395"/>
      <c r="K32" s="407">
        <v>12</v>
      </c>
      <c r="L32" s="392"/>
      <c r="M32" s="392"/>
    </row>
    <row r="33" spans="1:13">
      <c r="A33" s="392"/>
      <c r="B33" s="392"/>
      <c r="C33" s="392"/>
      <c r="D33" s="392"/>
      <c r="E33" s="392"/>
      <c r="F33" s="392"/>
      <c r="G33" s="392"/>
      <c r="H33" s="392"/>
      <c r="I33" s="392"/>
      <c r="J33" s="392"/>
      <c r="K33" s="316">
        <f>SUM(K25:K32)</f>
        <v>216.48</v>
      </c>
      <c r="L33" s="392"/>
      <c r="M33" s="392"/>
    </row>
    <row r="34" spans="1:13">
      <c r="A34" s="318">
        <v>43739</v>
      </c>
      <c r="B34" s="322"/>
      <c r="K34" s="320"/>
      <c r="L34" s="324"/>
    </row>
    <row r="35" spans="1:13">
      <c r="K35" s="327"/>
      <c r="L35" s="325"/>
    </row>
    <row r="36" spans="1:13">
      <c r="C36" s="305"/>
    </row>
    <row r="37" spans="1:13">
      <c r="A37" s="304"/>
      <c r="B37" s="315"/>
      <c r="C37" s="321"/>
      <c r="D37" s="315"/>
      <c r="E37" s="317"/>
    </row>
    <row r="38" spans="1:13">
      <c r="A38" s="318"/>
      <c r="B38" s="315"/>
    </row>
    <row r="39" spans="1:13">
      <c r="L39" s="326"/>
    </row>
    <row r="40" spans="1:13">
      <c r="L40" s="328"/>
    </row>
    <row r="41" spans="1:13">
      <c r="L41" s="328"/>
    </row>
    <row r="42" spans="1:13">
      <c r="L42" s="329"/>
    </row>
  </sheetData>
  <mergeCells count="5">
    <mergeCell ref="G13:G14"/>
    <mergeCell ref="E10:E11"/>
    <mergeCell ref="B10:B11"/>
    <mergeCell ref="E12:E13"/>
    <mergeCell ref="B12:B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workbookViewId="0">
      <selection activeCell="F6" sqref="F6"/>
    </sheetView>
  </sheetViews>
  <sheetFormatPr baseColWidth="10" defaultRowHeight="15"/>
  <cols>
    <col min="3" max="3" width="20.85546875" customWidth="1"/>
    <col min="4" max="4" width="17.140625" customWidth="1"/>
    <col min="5" max="5" width="19.7109375" customWidth="1"/>
    <col min="9" max="9" width="9.140625" customWidth="1"/>
    <col min="10" max="10" width="28.5703125" customWidth="1"/>
    <col min="12" max="12" width="25.7109375" customWidth="1"/>
    <col min="13" max="13" width="28" customWidth="1"/>
  </cols>
  <sheetData>
    <row r="2" spans="1:13">
      <c r="A2" s="405" t="s">
        <v>370</v>
      </c>
      <c r="B2" s="404"/>
      <c r="C2" s="404"/>
      <c r="D2" s="404"/>
      <c r="E2" s="404"/>
      <c r="F2" s="404"/>
      <c r="G2" s="392"/>
      <c r="H2" s="392" t="s">
        <v>255</v>
      </c>
      <c r="I2" s="392"/>
      <c r="J2" s="392"/>
      <c r="K2" s="392"/>
      <c r="L2" s="392"/>
      <c r="M2" s="392"/>
    </row>
    <row r="3" spans="1:13">
      <c r="A3" s="404"/>
      <c r="B3" s="404"/>
      <c r="C3" s="404"/>
      <c r="D3" s="404"/>
      <c r="E3" s="404"/>
      <c r="F3" s="404"/>
      <c r="G3" s="392"/>
      <c r="H3" s="392"/>
      <c r="I3" s="392"/>
      <c r="J3" s="392"/>
      <c r="K3" s="392"/>
      <c r="L3" s="392"/>
      <c r="M3" s="392"/>
    </row>
    <row r="4" spans="1:13">
      <c r="A4" s="402" t="s">
        <v>254</v>
      </c>
      <c r="B4" s="402" t="s">
        <v>253</v>
      </c>
      <c r="C4" s="403" t="s">
        <v>248</v>
      </c>
      <c r="D4" s="402" t="s">
        <v>247</v>
      </c>
      <c r="E4" s="402" t="s">
        <v>252</v>
      </c>
      <c r="F4" s="402" t="s">
        <v>251</v>
      </c>
      <c r="G4" s="401"/>
      <c r="H4" s="400" t="s">
        <v>250</v>
      </c>
      <c r="I4" s="400" t="s">
        <v>249</v>
      </c>
      <c r="J4" s="400" t="s">
        <v>248</v>
      </c>
      <c r="K4" s="400" t="s">
        <v>247</v>
      </c>
      <c r="L4" s="400" t="s">
        <v>246</v>
      </c>
      <c r="M4" s="400" t="s">
        <v>245</v>
      </c>
    </row>
    <row r="5" spans="1:13" ht="93.75" customHeight="1">
      <c r="A5" s="398"/>
      <c r="B5" s="395"/>
      <c r="C5" s="357"/>
      <c r="D5" s="385"/>
      <c r="E5" s="357"/>
      <c r="F5" s="406"/>
      <c r="G5" s="394"/>
      <c r="H5" s="398"/>
      <c r="I5" s="395"/>
      <c r="J5" s="410"/>
      <c r="K5" s="411"/>
      <c r="L5" s="408"/>
      <c r="M5" s="415"/>
    </row>
    <row r="6" spans="1:13" s="392" customFormat="1" ht="93.75" customHeight="1">
      <c r="A6" s="398"/>
      <c r="B6" s="395"/>
      <c r="C6" s="357"/>
      <c r="D6" s="385"/>
      <c r="E6" s="357"/>
      <c r="F6" s="406"/>
      <c r="G6" s="394"/>
      <c r="H6" s="398"/>
      <c r="I6" s="395"/>
      <c r="J6" s="393"/>
      <c r="K6" s="409"/>
      <c r="L6" s="408"/>
      <c r="M6" s="415"/>
    </row>
    <row r="7" spans="1:13" s="392" customFormat="1" ht="93.75" customHeight="1">
      <c r="A7" s="398"/>
      <c r="B7" s="395"/>
      <c r="C7" s="357"/>
      <c r="D7" s="385"/>
      <c r="E7" s="357"/>
      <c r="F7" s="406"/>
      <c r="G7" s="394"/>
      <c r="H7" s="398"/>
      <c r="I7" s="395"/>
      <c r="J7" s="422"/>
      <c r="K7" s="409"/>
      <c r="L7" s="408"/>
      <c r="M7" s="415"/>
    </row>
    <row r="8" spans="1:13" ht="119.25" customHeight="1">
      <c r="H8" s="398"/>
      <c r="I8" s="395"/>
      <c r="J8" s="422"/>
      <c r="K8" s="396"/>
      <c r="L8" s="408"/>
      <c r="M8" s="415"/>
    </row>
    <row r="9" spans="1:13">
      <c r="H9" s="398"/>
      <c r="I9" s="395"/>
      <c r="J9" s="422"/>
      <c r="K9" s="396"/>
      <c r="L9" s="408"/>
      <c r="M9" s="415"/>
    </row>
    <row r="10" spans="1:13">
      <c r="H10" s="398"/>
      <c r="I10" s="395"/>
      <c r="J10" s="422"/>
      <c r="K10" s="396"/>
      <c r="L10" s="408"/>
      <c r="M10" s="416"/>
    </row>
    <row r="11" spans="1:13">
      <c r="H11" s="395"/>
      <c r="I11" s="395"/>
      <c r="J11" s="477"/>
      <c r="K11" s="417"/>
      <c r="L11" s="408"/>
      <c r="M11" s="416"/>
    </row>
    <row r="12" spans="1:13">
      <c r="I12" s="412"/>
      <c r="J12" s="478"/>
      <c r="K12" s="411"/>
    </row>
    <row r="13" spans="1:13">
      <c r="J13" s="478"/>
    </row>
    <row r="14" spans="1:13">
      <c r="J14" s="479"/>
      <c r="K14" s="411">
        <f>(K8+K9)</f>
        <v>0</v>
      </c>
    </row>
    <row r="15" spans="1:13">
      <c r="J15" s="324"/>
      <c r="K15" s="411">
        <f>(K7+K10)</f>
        <v>0</v>
      </c>
    </row>
    <row r="16" spans="1:13">
      <c r="K16" s="411">
        <v>12</v>
      </c>
    </row>
    <row r="17" spans="11:11">
      <c r="K17" s="409">
        <v>18</v>
      </c>
    </row>
    <row r="18" spans="11:11">
      <c r="K18" s="417">
        <v>16.690000000000001</v>
      </c>
    </row>
    <row r="19" spans="11:11">
      <c r="K19" s="411">
        <f>SUM(K14:K18)</f>
        <v>46.69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CONSOLIDADO DE PLANIFICACI</vt:lpstr>
      <vt:lpstr>REFORMULACION</vt:lpstr>
      <vt:lpstr>DEVENGADO  (2)</vt:lpstr>
      <vt:lpstr>DEVENGADO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SSolis</dc:creator>
  <cp:lastModifiedBy>Hp</cp:lastModifiedBy>
  <cp:lastPrinted>2020-04-01T16:56:08Z</cp:lastPrinted>
  <dcterms:created xsi:type="dcterms:W3CDTF">2014-11-05T16:16:30Z</dcterms:created>
  <dcterms:modified xsi:type="dcterms:W3CDTF">2021-05-11T17:11:43Z</dcterms:modified>
</cp:coreProperties>
</file>